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360" yWindow="15" windowWidth="11340" windowHeight="7050"/>
  </bookViews>
  <sheets>
    <sheet name="Turbine" sheetId="8" r:id="rId1"/>
    <sheet name="Netting 2" sheetId="13" r:id="rId2"/>
  </sheets>
  <definedNames>
    <definedName name="_xlnm.Print_Area" localSheetId="0">Turbine!$A$1:$K$67</definedName>
  </definedNames>
  <calcPr calcId="152511"/>
</workbook>
</file>

<file path=xl/calcChain.xml><?xml version="1.0" encoding="utf-8"?>
<calcChain xmlns="http://schemas.openxmlformats.org/spreadsheetml/2006/main">
  <c r="B13" i="13" l="1"/>
  <c r="C13" i="13"/>
  <c r="D13" i="13"/>
  <c r="B22" i="13"/>
  <c r="C22" i="13"/>
  <c r="D22" i="13"/>
  <c r="B26" i="13"/>
  <c r="C26" i="13"/>
  <c r="D26" i="13"/>
  <c r="B27" i="13"/>
  <c r="C27" i="13"/>
  <c r="C31" i="13" s="1"/>
  <c r="C39" i="13" s="1"/>
  <c r="D27" i="13"/>
  <c r="D31" i="13" s="1"/>
  <c r="D39" i="13" s="1"/>
  <c r="B28" i="13"/>
  <c r="B31" i="13" s="1"/>
  <c r="B39" i="13" s="1"/>
  <c r="C28" i="13"/>
  <c r="D28" i="13"/>
  <c r="B29" i="13"/>
  <c r="C29" i="13"/>
  <c r="D29" i="13"/>
  <c r="B30" i="13"/>
  <c r="C30" i="13"/>
  <c r="D30" i="13"/>
  <c r="B36" i="13"/>
  <c r="B42" i="13" s="1"/>
  <c r="C36" i="13"/>
  <c r="C42" i="13" s="1"/>
  <c r="D36" i="13"/>
  <c r="D42" i="13" s="1"/>
  <c r="B19" i="8"/>
  <c r="B21" i="8"/>
  <c r="C56" i="8" s="1"/>
  <c r="C66" i="8" s="1"/>
  <c r="B23" i="8"/>
  <c r="B24" i="8"/>
  <c r="B25" i="8"/>
  <c r="D30" i="8"/>
  <c r="F30" i="8"/>
  <c r="H30" i="8"/>
  <c r="D31" i="8"/>
  <c r="F31" i="8"/>
  <c r="H31" i="8"/>
  <c r="D32" i="8"/>
  <c r="D41" i="8" s="1"/>
  <c r="F32" i="8"/>
  <c r="F41" i="8" s="1"/>
  <c r="C53" i="8" s="1"/>
  <c r="C63" i="8" s="1"/>
  <c r="H32" i="8"/>
  <c r="D33" i="8"/>
  <c r="F33" i="8"/>
  <c r="H33" i="8"/>
  <c r="D34" i="8"/>
  <c r="F34" i="8"/>
  <c r="H34" i="8"/>
  <c r="D35" i="8"/>
  <c r="F35" i="8"/>
  <c r="H35" i="8"/>
  <c r="D36" i="8"/>
  <c r="F36" i="8"/>
  <c r="H36" i="8"/>
  <c r="D37" i="8"/>
  <c r="F37" i="8"/>
  <c r="H37" i="8"/>
  <c r="H41" i="8" s="1"/>
  <c r="D38" i="8"/>
  <c r="F38" i="8"/>
  <c r="H38" i="8"/>
  <c r="D39" i="8"/>
  <c r="F39" i="8"/>
  <c r="H39" i="8"/>
  <c r="D40" i="8"/>
  <c r="F40" i="8"/>
  <c r="H40" i="8"/>
  <c r="C41" i="8"/>
  <c r="E41" i="8"/>
  <c r="G41" i="8"/>
  <c r="B54" i="8" s="1"/>
  <c r="B64" i="8" s="1"/>
  <c r="D42" i="8"/>
  <c r="E42" i="8"/>
  <c r="F42" i="8"/>
  <c r="G42" i="8"/>
  <c r="H42" i="8"/>
  <c r="B52" i="8"/>
  <c r="B62" i="8" s="1"/>
  <c r="B53" i="8"/>
  <c r="B63" i="8" s="1"/>
  <c r="B55" i="8"/>
  <c r="B56" i="8"/>
  <c r="B66" i="8" s="1"/>
  <c r="B57" i="8"/>
  <c r="B67" i="8" s="1"/>
  <c r="C57" i="8"/>
  <c r="C67" i="8" s="1"/>
  <c r="B65" i="8"/>
  <c r="C54" i="8" l="1"/>
  <c r="C64" i="8" s="1"/>
  <c r="C52" i="8"/>
  <c r="C62" i="8" s="1"/>
  <c r="C55" i="8"/>
  <c r="C65" i="8" s="1"/>
</calcChain>
</file>

<file path=xl/comments1.xml><?xml version="1.0" encoding="utf-8"?>
<comments xmlns="http://schemas.openxmlformats.org/spreadsheetml/2006/main">
  <authors>
    <author/>
  </authors>
  <commentList>
    <comment ref="C52" authorId="0" shapeId="0">
      <text>
        <r>
          <rPr>
            <sz val="10"/>
            <rFont val="Arial"/>
          </rPr>
          <t>Suggested Repair:D41
Suggested Value:121.764</t>
        </r>
      </text>
    </comment>
    <comment ref="C53" authorId="0" shapeId="0">
      <text>
        <r>
          <rPr>
            <sz val="10"/>
            <rFont val="Arial"/>
          </rPr>
          <t>Suggested Repair:F41
Suggested Value:74.022</t>
        </r>
      </text>
    </comment>
    <comment ref="C54" authorId="0" shapeId="0">
      <text>
        <r>
          <rPr>
            <sz val="10"/>
            <rFont val="Arial"/>
          </rPr>
          <t>Suggested Repair:H41*0.1
Suggested Value:2.5842</t>
        </r>
      </text>
    </comment>
  </commentList>
</comments>
</file>

<file path=xl/sharedStrings.xml><?xml version="1.0" encoding="utf-8"?>
<sst xmlns="http://schemas.openxmlformats.org/spreadsheetml/2006/main" count="129" uniqueCount="82">
  <si>
    <t>TRANSWESTERN PIPELINE COMPANY</t>
  </si>
  <si>
    <t>RED ROCK EXPANSION PROJECT</t>
  </si>
  <si>
    <t>TURBINE INFORMATION</t>
  </si>
  <si>
    <t>Manufacturer:</t>
  </si>
  <si>
    <t>Fuel Type:</t>
  </si>
  <si>
    <t>Sweet Natural Gas</t>
  </si>
  <si>
    <t>Site Elevation:</t>
  </si>
  <si>
    <t>Inlet Loss:</t>
  </si>
  <si>
    <t>Exhaust Loss:</t>
  </si>
  <si>
    <t>Shaft Power:</t>
  </si>
  <si>
    <t>Speed:</t>
  </si>
  <si>
    <t>rpm</t>
  </si>
  <si>
    <t>Unit</t>
  </si>
  <si>
    <t>CO</t>
  </si>
  <si>
    <t>VOC</t>
  </si>
  <si>
    <t>lb/MMBtu</t>
  </si>
  <si>
    <t>MMBtu/hr</t>
  </si>
  <si>
    <t>Nox (tpy)</t>
  </si>
  <si>
    <t>CO (tpy)</t>
  </si>
  <si>
    <t>Total</t>
  </si>
  <si>
    <t>VOC (tpy)</t>
  </si>
  <si>
    <t>Turbine</t>
  </si>
  <si>
    <t>(tpy)</t>
  </si>
  <si>
    <t>Potential Emissions</t>
  </si>
  <si>
    <t>PM</t>
  </si>
  <si>
    <t>AP-42 Emission Factors (04/00)</t>
  </si>
  <si>
    <t>TOTAL</t>
  </si>
  <si>
    <t>Table 1</t>
  </si>
  <si>
    <t>Formaldehyde</t>
  </si>
  <si>
    <t>Annual</t>
  </si>
  <si>
    <t>Proposed Turbine Emissions</t>
  </si>
  <si>
    <t>Pollutant</t>
  </si>
  <si>
    <t>NOX</t>
  </si>
  <si>
    <t>Maximum</t>
  </si>
  <si>
    <t>(lb/hr)</t>
  </si>
  <si>
    <t>GE LM2500</t>
  </si>
  <si>
    <t>Temp</t>
  </si>
  <si>
    <t>Base</t>
  </si>
  <si>
    <t>THC</t>
  </si>
  <si>
    <r>
      <t>(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F)</t>
    </r>
  </si>
  <si>
    <t>Load (%)</t>
  </si>
  <si>
    <t>Max Heat Rate:</t>
  </si>
  <si>
    <t>Avg Heat Rate:</t>
  </si>
  <si>
    <t>@base load 80% of time, 64% load 20% of time</t>
  </si>
  <si>
    <t>@max hourly based on max heat rate, annuals based on avg heat rate</t>
  </si>
  <si>
    <t>Max Hourly</t>
  </si>
  <si>
    <t>Base Load Max</t>
  </si>
  <si>
    <t xml:space="preserve">     and 64% load 20% of  the time.</t>
  </si>
  <si>
    <t>KINGMAN COMPRESSOR STATION</t>
  </si>
  <si>
    <r>
      <t>in H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O</t>
    </r>
  </si>
  <si>
    <r>
      <t>hp @ 12.8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F (Base Load)</t>
    </r>
  </si>
  <si>
    <r>
      <t>hp @ 60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F (Base Load)</t>
    </r>
  </si>
  <si>
    <r>
      <t>Btu/hp-hr @60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F (Base Load)</t>
    </r>
  </si>
  <si>
    <t>Max Hourly Fuel:</t>
  </si>
  <si>
    <t>Btu/scf</t>
  </si>
  <si>
    <t>HHV:</t>
  </si>
  <si>
    <t>MMscf/hr</t>
  </si>
  <si>
    <t>Avg Hourly Fuel:</t>
  </si>
  <si>
    <t>Annual Fuel:</t>
  </si>
  <si>
    <t>MMscf/yr</t>
  </si>
  <si>
    <t>(Max Heat Rate/HHV)</t>
  </si>
  <si>
    <t>(Avg Heat Rate/HHV)</t>
  </si>
  <si>
    <t>(Avg Fuel x 8760)</t>
  </si>
  <si>
    <r>
      <t>(Max Heat Rate x shp@12.8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F)</t>
    </r>
  </si>
  <si>
    <r>
      <t>(Avg Heat Rate x shp@60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F)</t>
    </r>
  </si>
  <si>
    <r>
      <t>NOx (as NO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)</t>
    </r>
  </si>
  <si>
    <r>
      <t>SO</t>
    </r>
    <r>
      <rPr>
        <vertAlign val="subscript"/>
        <sz val="12"/>
        <rFont val="Arial"/>
        <family val="2"/>
      </rPr>
      <t>2</t>
    </r>
  </si>
  <si>
    <r>
      <t>Btu/hp-hr @95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F (50% Load)</t>
    </r>
  </si>
  <si>
    <t>@base load 80% of time, 64% load 20% of time; assume 10% NMHC.</t>
  </si>
  <si>
    <t>Proposed Turbine Emissions with 15% Safety Factor</t>
  </si>
  <si>
    <t>Notes:</t>
  </si>
  <si>
    <t>(1) Proposed NOx, CO, and VOC emissions based on 80/20 split.  Turbine will operate at 100% load 80% of the time</t>
  </si>
  <si>
    <t>1999 Emissions Reported to ADEQ (from EI)</t>
  </si>
  <si>
    <t>2000 Emissions Reported to ADEQ (from EI)</t>
  </si>
  <si>
    <t>Last 2-Year Emissions Average (from EIs)</t>
  </si>
  <si>
    <t>Proposed Emission Increases (tpy)</t>
  </si>
  <si>
    <t>Gen Engines</t>
  </si>
  <si>
    <t>Contemporaneous Emission Decreases (tpy)</t>
  </si>
  <si>
    <t>Net Change (Increase - Decrease) (tpy)</t>
  </si>
  <si>
    <t>(2) Proposed increases are from proposed turbine and generator engines.</t>
  </si>
  <si>
    <t xml:space="preserve">    Only one generator engine will be run at a time.</t>
  </si>
  <si>
    <t>(3) Contemporaneous decreases are from permanent shutdown of Units 101, 102, 103, 121, and 122.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</si>
</sst>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10" x14ac:knownFonts="1">
    <font>
      <sz val="10"/>
      <name val="Arial"/>
    </font>
    <font>
      <b/>
      <sz val="16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vertAlign val="subscript"/>
      <sz val="12"/>
      <name val="Arial"/>
      <family val="2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17"/>
        <bgColor indexed="17"/>
      </patternFill>
    </fill>
    <fill>
      <patternFill patternType="solid">
        <fgColor indexed="13"/>
        <bgColor indexed="13"/>
      </patternFill>
    </fill>
    <fill>
      <patternFill patternType="solid">
        <fgColor indexed="10"/>
        <bgColor indexed="10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/>
    <xf numFmtId="0" fontId="4" fillId="0" borderId="1" xfId="0" applyFont="1" applyBorder="1"/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2" fontId="4" fillId="0" borderId="0" xfId="0" applyNumberFormat="1" applyFont="1"/>
    <xf numFmtId="176" fontId="4" fillId="0" borderId="0" xfId="0" applyNumberFormat="1" applyFont="1"/>
    <xf numFmtId="0" fontId="3" fillId="0" borderId="0" xfId="0" applyFont="1"/>
    <xf numFmtId="0" fontId="4" fillId="0" borderId="2" xfId="0" applyFont="1" applyBorder="1" applyAlignment="1">
      <alignment horizontal="center"/>
    </xf>
    <xf numFmtId="0" fontId="4" fillId="0" borderId="5" xfId="0" applyFont="1" applyBorder="1"/>
    <xf numFmtId="0" fontId="5" fillId="0" borderId="0" xfId="0" applyFont="1"/>
    <xf numFmtId="2" fontId="4" fillId="0" borderId="0" xfId="0" applyNumberFormat="1" applyFont="1" applyBorder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/>
    <xf numFmtId="0" fontId="4" fillId="0" borderId="7" xfId="0" applyFont="1" applyBorder="1"/>
    <xf numFmtId="11" fontId="4" fillId="0" borderId="7" xfId="0" applyNumberFormat="1" applyFont="1" applyBorder="1"/>
    <xf numFmtId="0" fontId="4" fillId="0" borderId="7" xfId="0" applyFont="1" applyBorder="1" applyAlignment="1">
      <alignment horizontal="center"/>
    </xf>
    <xf numFmtId="2" fontId="4" fillId="0" borderId="7" xfId="0" applyNumberFormat="1" applyFont="1" applyBorder="1"/>
    <xf numFmtId="0" fontId="4" fillId="0" borderId="9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9" xfId="0" applyFont="1" applyBorder="1"/>
    <xf numFmtId="2" fontId="4" fillId="0" borderId="9" xfId="0" applyNumberFormat="1" applyFont="1" applyBorder="1"/>
    <xf numFmtId="0" fontId="4" fillId="0" borderId="0" xfId="0" quotePrefix="1" applyFont="1"/>
    <xf numFmtId="2" fontId="0" fillId="0" borderId="0" xfId="0" applyNumberFormat="1"/>
    <xf numFmtId="2" fontId="4" fillId="0" borderId="7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3" borderId="0" xfId="0" applyFill="1"/>
    <xf numFmtId="0" fontId="0" fillId="4" borderId="0" xfId="0" applyFill="1"/>
    <xf numFmtId="0" fontId="0" fillId="3" borderId="0" xfId="0" applyFill="1"/>
    <xf numFmtId="0" fontId="0" fillId="4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6" fillId="0" borderId="0" xfId="0" applyFont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0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466725</xdr:colOff>
      <xdr:row>40</xdr:row>
      <xdr:rowOff>219075</xdr:rowOff>
    </xdr:to>
    <xdr:sp macro="" textlink="">
      <xdr:nvSpPr>
        <xdr:cNvPr id="1028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showFormulas="1" tabSelected="1" topLeftCell="A37" zoomScale="75" workbookViewId="0">
      <selection activeCell="F35" sqref="F35"/>
    </sheetView>
  </sheetViews>
  <sheetFormatPr defaultRowHeight="12.75" x14ac:dyDescent="0.2"/>
  <cols>
    <col min="1" max="1" width="19.5703125" bestFit="1" customWidth="1" collapsed="1"/>
    <col min="2" max="2" width="19.28515625" bestFit="1" customWidth="1" collapsed="1"/>
    <col min="3" max="3" width="13" bestFit="1" customWidth="1" collapsed="1"/>
    <col min="11" max="11" width="10.85546875" bestFit="1" customWidth="1" collapsed="1"/>
  </cols>
  <sheetData>
    <row r="1" spans="1:15" ht="23.25" x14ac:dyDescent="0.3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3.25" x14ac:dyDescent="0.35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spans="1:15" ht="23.25" x14ac:dyDescent="0.35">
      <c r="A3" s="15" t="s">
        <v>48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15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1:15" ht="18" x14ac:dyDescent="0.25">
      <c r="A5" s="55" t="s">
        <v>27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17"/>
      <c r="M5" s="17"/>
      <c r="N5" s="17"/>
      <c r="O5" s="17"/>
    </row>
    <row r="6" spans="1:15" ht="18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17"/>
      <c r="M6" s="17"/>
      <c r="N6" s="17"/>
      <c r="O6" s="17"/>
    </row>
    <row r="7" spans="1:15" ht="20.25" x14ac:dyDescent="0.3">
      <c r="A7" s="16" t="s">
        <v>2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</row>
    <row r="10" spans="1:15" ht="18" x14ac:dyDescent="0.25">
      <c r="A10" s="1" t="s">
        <v>3</v>
      </c>
      <c r="B10" s="1" t="s">
        <v>35</v>
      </c>
      <c r="C10" s="1"/>
      <c r="D10" s="1"/>
      <c r="E10" s="1"/>
      <c r="F10" s="13"/>
      <c r="G10" s="13"/>
      <c r="H10" s="13"/>
      <c r="I10" s="13"/>
      <c r="J10" s="1"/>
      <c r="K10" s="1"/>
      <c r="L10" s="1"/>
      <c r="M10" s="1"/>
    </row>
    <row r="11" spans="1:15" ht="18" x14ac:dyDescent="0.25">
      <c r="A11" s="1" t="s">
        <v>4</v>
      </c>
      <c r="B11" s="1" t="s">
        <v>5</v>
      </c>
      <c r="C11" s="1"/>
      <c r="D11" s="1"/>
      <c r="E11" s="1"/>
      <c r="F11" s="13"/>
      <c r="G11" s="13"/>
      <c r="H11" s="13"/>
      <c r="I11" s="13"/>
      <c r="J11" s="1"/>
      <c r="K11" s="1"/>
      <c r="L11" s="1"/>
      <c r="M11" s="1"/>
    </row>
    <row r="12" spans="1:15" ht="18" x14ac:dyDescent="0.25">
      <c r="A12" s="1" t="s">
        <v>55</v>
      </c>
      <c r="B12" s="1">
        <v>1020</v>
      </c>
      <c r="C12" s="1" t="s">
        <v>54</v>
      </c>
      <c r="D12" s="1"/>
      <c r="E12" s="1"/>
      <c r="F12" s="13"/>
      <c r="G12" s="13"/>
      <c r="H12" s="13"/>
      <c r="I12" s="13"/>
      <c r="J12" s="1"/>
      <c r="K12" s="1"/>
      <c r="L12" s="1"/>
      <c r="M12" s="1"/>
    </row>
    <row r="13" spans="1:15" ht="18" x14ac:dyDescent="0.25">
      <c r="A13" s="1" t="s">
        <v>6</v>
      </c>
      <c r="B13" s="1">
        <v>5063</v>
      </c>
      <c r="C13" s="1"/>
      <c r="D13" s="1"/>
      <c r="E13" s="1"/>
      <c r="F13" s="13"/>
      <c r="G13" s="13"/>
      <c r="H13" s="13"/>
      <c r="I13" s="13"/>
      <c r="J13" s="1"/>
      <c r="K13" s="1"/>
      <c r="L13" s="1"/>
      <c r="M13" s="1"/>
    </row>
    <row r="14" spans="1:15" ht="19.5" x14ac:dyDescent="0.35">
      <c r="A14" s="1" t="s">
        <v>7</v>
      </c>
      <c r="B14" s="9">
        <v>4</v>
      </c>
      <c r="C14" s="1" t="s">
        <v>49</v>
      </c>
      <c r="D14" s="1"/>
      <c r="E14" s="1"/>
      <c r="F14" s="13"/>
      <c r="G14" s="13"/>
      <c r="H14" s="13"/>
      <c r="I14" s="13"/>
      <c r="J14" s="1"/>
      <c r="K14" s="1"/>
      <c r="L14" s="1"/>
      <c r="M14" s="1"/>
    </row>
    <row r="15" spans="1:15" ht="19.5" x14ac:dyDescent="0.35">
      <c r="A15" s="1" t="s">
        <v>8</v>
      </c>
      <c r="B15" s="9">
        <v>4</v>
      </c>
      <c r="C15" s="1" t="s">
        <v>49</v>
      </c>
      <c r="D15" s="1"/>
      <c r="E15" s="1"/>
      <c r="F15" s="13"/>
      <c r="G15" s="13"/>
      <c r="H15" s="13"/>
      <c r="I15" s="13"/>
      <c r="J15" s="1"/>
      <c r="K15" s="1"/>
      <c r="L15" s="1"/>
      <c r="M15" s="1"/>
    </row>
    <row r="16" spans="1:15" ht="18.75" x14ac:dyDescent="0.25">
      <c r="A16" s="1" t="s">
        <v>9</v>
      </c>
      <c r="B16" s="1">
        <v>40916</v>
      </c>
      <c r="C16" s="1" t="s">
        <v>50</v>
      </c>
      <c r="D16" s="1"/>
      <c r="E16" s="1"/>
      <c r="F16" s="13"/>
      <c r="G16" s="13"/>
      <c r="H16" s="13"/>
      <c r="I16" s="13"/>
      <c r="J16" s="1"/>
      <c r="K16" s="1"/>
      <c r="L16" s="1"/>
      <c r="M16" s="1"/>
    </row>
    <row r="17" spans="1:13" ht="18.75" x14ac:dyDescent="0.25">
      <c r="A17" s="1"/>
      <c r="B17" s="1">
        <v>33526</v>
      </c>
      <c r="C17" s="1" t="s">
        <v>51</v>
      </c>
      <c r="D17" s="1"/>
      <c r="E17" s="1"/>
      <c r="F17" s="13"/>
      <c r="G17" s="13"/>
      <c r="H17" s="13"/>
      <c r="I17" s="13"/>
      <c r="J17" s="1"/>
      <c r="K17" s="1"/>
      <c r="L17" s="1"/>
      <c r="M17" s="1"/>
    </row>
    <row r="18" spans="1:13" ht="18.75" x14ac:dyDescent="0.25">
      <c r="A18" s="1" t="s">
        <v>41</v>
      </c>
      <c r="B18" s="1">
        <v>9429</v>
      </c>
      <c r="C18" s="1" t="s">
        <v>67</v>
      </c>
      <c r="D18" s="1"/>
      <c r="E18" s="1"/>
      <c r="F18" s="13"/>
      <c r="G18" s="13"/>
      <c r="H18" s="13"/>
      <c r="I18" s="13"/>
      <c r="J18" s="1"/>
      <c r="K18" s="1"/>
      <c r="L18" s="1"/>
      <c r="M18" s="1"/>
    </row>
    <row r="19" spans="1:13" ht="18.75" x14ac:dyDescent="0.25">
      <c r="A19" s="1"/>
      <c r="B19" s="8">
        <f>+B16*B18/1000000</f>
        <v>385.796964</v>
      </c>
      <c r="C19" s="1" t="s">
        <v>16</v>
      </c>
      <c r="D19" s="1" t="s">
        <v>63</v>
      </c>
      <c r="E19" s="1"/>
      <c r="F19" s="13"/>
      <c r="G19" s="13"/>
      <c r="H19" s="13"/>
      <c r="I19" s="13"/>
      <c r="J19" s="1"/>
      <c r="K19" s="1"/>
      <c r="L19" s="1"/>
      <c r="M19" s="1"/>
    </row>
    <row r="20" spans="1:13" ht="18.75" x14ac:dyDescent="0.25">
      <c r="A20" s="1" t="s">
        <v>42</v>
      </c>
      <c r="B20" s="8">
        <v>6298</v>
      </c>
      <c r="C20" s="1" t="s">
        <v>52</v>
      </c>
      <c r="D20" s="1"/>
      <c r="E20" s="1"/>
      <c r="F20" s="13"/>
      <c r="G20" s="13"/>
      <c r="H20" s="13"/>
      <c r="I20" s="13"/>
      <c r="J20" s="1"/>
      <c r="K20" s="1"/>
      <c r="L20" s="1"/>
      <c r="M20" s="1"/>
    </row>
    <row r="21" spans="1:13" ht="18.75" x14ac:dyDescent="0.25">
      <c r="A21" s="1"/>
      <c r="B21" s="8">
        <f>+B20*B17/1000000</f>
        <v>211.146748</v>
      </c>
      <c r="C21" s="1" t="s">
        <v>16</v>
      </c>
      <c r="D21" s="1" t="s">
        <v>64</v>
      </c>
      <c r="E21" s="1"/>
      <c r="F21" s="13"/>
      <c r="G21" s="13"/>
      <c r="H21" s="13"/>
      <c r="I21" s="13"/>
      <c r="J21" s="1"/>
      <c r="K21" s="1"/>
      <c r="L21" s="1"/>
      <c r="M21" s="1"/>
    </row>
    <row r="22" spans="1:13" ht="18" x14ac:dyDescent="0.25">
      <c r="A22" s="1" t="s">
        <v>10</v>
      </c>
      <c r="B22" s="1">
        <v>6100</v>
      </c>
      <c r="C22" s="1" t="s">
        <v>11</v>
      </c>
      <c r="D22" s="1"/>
      <c r="E22" s="1"/>
      <c r="F22" s="13"/>
      <c r="G22" s="13"/>
      <c r="H22" s="13"/>
      <c r="I22" s="13"/>
      <c r="J22" s="1"/>
      <c r="K22" s="1"/>
      <c r="L22" s="1"/>
      <c r="M22" s="1"/>
    </row>
    <row r="23" spans="1:13" ht="18" x14ac:dyDescent="0.25">
      <c r="A23" s="1" t="s">
        <v>53</v>
      </c>
      <c r="B23" s="8">
        <f>+B19/B12</f>
        <v>0.37823231764705884</v>
      </c>
      <c r="C23" s="1" t="s">
        <v>56</v>
      </c>
      <c r="D23" s="1" t="s">
        <v>60</v>
      </c>
      <c r="E23" s="1"/>
      <c r="F23" s="13"/>
      <c r="G23" s="13"/>
      <c r="H23" s="13"/>
      <c r="I23" s="13"/>
      <c r="J23" s="1"/>
      <c r="K23" s="1"/>
      <c r="L23" s="1"/>
      <c r="M23" s="1"/>
    </row>
    <row r="24" spans="1:13" ht="18" x14ac:dyDescent="0.25">
      <c r="A24" s="1" t="s">
        <v>57</v>
      </c>
      <c r="B24" s="8">
        <f>+B21/B12</f>
        <v>0.20700661568627451</v>
      </c>
      <c r="C24" s="1" t="s">
        <v>56</v>
      </c>
      <c r="D24" s="1" t="s">
        <v>61</v>
      </c>
      <c r="E24" s="1"/>
      <c r="F24" s="13"/>
      <c r="G24" s="13"/>
      <c r="H24" s="13"/>
      <c r="I24" s="13"/>
      <c r="J24" s="1"/>
      <c r="K24" s="1"/>
      <c r="L24" s="1"/>
      <c r="M24" s="1"/>
    </row>
    <row r="25" spans="1:13" ht="18" x14ac:dyDescent="0.25">
      <c r="A25" s="1" t="s">
        <v>58</v>
      </c>
      <c r="B25" s="8">
        <f>+B24*8760</f>
        <v>1813.3779534117648</v>
      </c>
      <c r="C25" s="1" t="s">
        <v>59</v>
      </c>
      <c r="D25" s="1" t="s">
        <v>62</v>
      </c>
      <c r="E25" s="1"/>
      <c r="F25" s="13"/>
      <c r="G25" s="13"/>
      <c r="H25" s="13"/>
      <c r="I25" s="13"/>
      <c r="J25" s="1"/>
      <c r="K25" s="1"/>
      <c r="L25" s="1"/>
      <c r="M25" s="1"/>
    </row>
    <row r="26" spans="1:13" ht="18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"/>
      <c r="K26" s="1"/>
      <c r="L26" s="1"/>
      <c r="M26" s="1"/>
    </row>
    <row r="27" spans="1:13" ht="18" x14ac:dyDescent="0.25">
      <c r="A27" s="13" t="s">
        <v>23</v>
      </c>
      <c r="B27" s="13"/>
      <c r="C27" s="13"/>
      <c r="D27" s="13"/>
      <c r="E27" s="13"/>
      <c r="F27" s="13"/>
      <c r="G27" s="13"/>
      <c r="H27" s="13"/>
      <c r="I27" s="13"/>
      <c r="J27" s="1"/>
      <c r="K27" s="1"/>
      <c r="L27" s="1"/>
      <c r="M27" s="1"/>
    </row>
    <row r="28" spans="1:13" ht="19.5" x14ac:dyDescent="0.35">
      <c r="A28" s="24" t="s">
        <v>36</v>
      </c>
      <c r="B28" s="6" t="s">
        <v>21</v>
      </c>
      <c r="C28" s="56" t="s">
        <v>65</v>
      </c>
      <c r="D28" s="57"/>
      <c r="E28" s="56" t="s">
        <v>13</v>
      </c>
      <c r="F28" s="58"/>
      <c r="G28" s="57" t="s">
        <v>38</v>
      </c>
      <c r="H28" s="58"/>
      <c r="I28" s="13"/>
      <c r="J28" s="1"/>
      <c r="K28" s="1"/>
      <c r="L28" s="1"/>
      <c r="M28" s="1"/>
    </row>
    <row r="29" spans="1:13" ht="18.75" x14ac:dyDescent="0.25">
      <c r="A29" s="11" t="s">
        <v>39</v>
      </c>
      <c r="B29" s="7" t="s">
        <v>40</v>
      </c>
      <c r="C29" s="2" t="s">
        <v>34</v>
      </c>
      <c r="D29" s="20" t="s">
        <v>22</v>
      </c>
      <c r="E29" s="20" t="s">
        <v>34</v>
      </c>
      <c r="F29" s="20" t="s">
        <v>22</v>
      </c>
      <c r="G29" s="20" t="s">
        <v>34</v>
      </c>
      <c r="H29" s="20" t="s">
        <v>22</v>
      </c>
      <c r="I29" s="13"/>
    </row>
    <row r="30" spans="1:13" ht="18" x14ac:dyDescent="0.25">
      <c r="A30" s="20">
        <v>0</v>
      </c>
      <c r="B30" s="20" t="s">
        <v>37</v>
      </c>
      <c r="C30" s="21">
        <v>24.6</v>
      </c>
      <c r="D30" s="32">
        <f>+C30*8760/2000</f>
        <v>107.748</v>
      </c>
      <c r="E30" s="21">
        <v>15</v>
      </c>
      <c r="F30" s="33">
        <f>+E30*8760/2000</f>
        <v>65.7</v>
      </c>
      <c r="G30" s="18">
        <v>5.0999999999999996</v>
      </c>
      <c r="H30" s="34">
        <f t="shared" ref="H30:H40" si="0">+G30*8760/2000</f>
        <v>22.338000000000001</v>
      </c>
      <c r="I30" s="13"/>
    </row>
    <row r="31" spans="1:13" ht="18" x14ac:dyDescent="0.25">
      <c r="A31" s="20">
        <v>0</v>
      </c>
      <c r="B31" s="20">
        <v>64</v>
      </c>
      <c r="C31" s="21">
        <v>27.8</v>
      </c>
      <c r="D31" s="32">
        <f t="shared" ref="D31:F40" si="1">+C31*8760/2000</f>
        <v>121.764</v>
      </c>
      <c r="E31" s="21">
        <v>16.899999999999999</v>
      </c>
      <c r="F31" s="33">
        <f t="shared" si="1"/>
        <v>74.022000000000006</v>
      </c>
      <c r="G31" s="18">
        <v>5.9</v>
      </c>
      <c r="H31" s="34">
        <f t="shared" si="0"/>
        <v>25.841999999999999</v>
      </c>
      <c r="I31" s="13"/>
    </row>
    <row r="32" spans="1:13" ht="18" x14ac:dyDescent="0.25">
      <c r="A32" s="20">
        <v>0</v>
      </c>
      <c r="B32" s="20">
        <v>50</v>
      </c>
      <c r="C32" s="21">
        <v>25.2</v>
      </c>
      <c r="D32" s="32">
        <f t="shared" si="1"/>
        <v>110.376</v>
      </c>
      <c r="E32" s="21">
        <v>15.3</v>
      </c>
      <c r="F32" s="33">
        <f t="shared" si="1"/>
        <v>67.013999999999996</v>
      </c>
      <c r="G32" s="18">
        <v>5.4</v>
      </c>
      <c r="H32" s="34">
        <f t="shared" si="0"/>
        <v>23.652000000000001</v>
      </c>
      <c r="I32" s="13"/>
    </row>
    <row r="33" spans="1:13" ht="18" x14ac:dyDescent="0.25">
      <c r="A33" s="20">
        <v>12.8</v>
      </c>
      <c r="B33" s="20" t="s">
        <v>37</v>
      </c>
      <c r="C33" s="21">
        <v>24.9</v>
      </c>
      <c r="D33" s="32">
        <f t="shared" si="1"/>
        <v>109.062</v>
      </c>
      <c r="E33" s="21">
        <v>15.2</v>
      </c>
      <c r="F33" s="33">
        <f t="shared" si="1"/>
        <v>66.575999999999993</v>
      </c>
      <c r="G33" s="18">
        <v>5.0999999999999996</v>
      </c>
      <c r="H33" s="34">
        <f t="shared" si="0"/>
        <v>22.338000000000001</v>
      </c>
      <c r="I33" s="13"/>
    </row>
    <row r="34" spans="1:13" ht="18" x14ac:dyDescent="0.25">
      <c r="A34" s="20">
        <v>12.8</v>
      </c>
      <c r="B34" s="20">
        <v>50</v>
      </c>
      <c r="C34" s="21">
        <v>24.7</v>
      </c>
      <c r="D34" s="32">
        <f t="shared" si="1"/>
        <v>108.18600000000001</v>
      </c>
      <c r="E34" s="21">
        <v>15</v>
      </c>
      <c r="F34" s="33">
        <f t="shared" si="1"/>
        <v>65.7</v>
      </c>
      <c r="G34" s="18">
        <v>5.3</v>
      </c>
      <c r="H34" s="34">
        <f t="shared" si="0"/>
        <v>23.213999999999999</v>
      </c>
      <c r="I34" s="13"/>
    </row>
    <row r="35" spans="1:13" ht="18" x14ac:dyDescent="0.25">
      <c r="A35" s="20">
        <v>40</v>
      </c>
      <c r="B35" s="20" t="s">
        <v>37</v>
      </c>
      <c r="C35" s="21">
        <v>22.8</v>
      </c>
      <c r="D35" s="32">
        <f t="shared" si="1"/>
        <v>99.864000000000004</v>
      </c>
      <c r="E35" s="21">
        <v>13.8</v>
      </c>
      <c r="F35" s="33">
        <f t="shared" si="1"/>
        <v>60.444000000000003</v>
      </c>
      <c r="G35" s="18">
        <v>4.7</v>
      </c>
      <c r="H35" s="34">
        <f t="shared" si="0"/>
        <v>20.585999999999999</v>
      </c>
      <c r="I35" s="13"/>
    </row>
    <row r="36" spans="1:13" ht="18" x14ac:dyDescent="0.25">
      <c r="A36" s="20">
        <v>40</v>
      </c>
      <c r="B36" s="20">
        <v>50</v>
      </c>
      <c r="C36" s="21">
        <v>22.5</v>
      </c>
      <c r="D36" s="32">
        <f t="shared" si="1"/>
        <v>98.55</v>
      </c>
      <c r="E36" s="21">
        <v>13.7</v>
      </c>
      <c r="F36" s="33">
        <f t="shared" si="1"/>
        <v>60.006</v>
      </c>
      <c r="G36" s="18">
        <v>4.8</v>
      </c>
      <c r="H36" s="34">
        <f t="shared" si="0"/>
        <v>21.024000000000001</v>
      </c>
      <c r="I36" s="13"/>
    </row>
    <row r="37" spans="1:13" ht="18" x14ac:dyDescent="0.25">
      <c r="A37" s="20">
        <v>60</v>
      </c>
      <c r="B37" s="20" t="s">
        <v>37</v>
      </c>
      <c r="C37" s="21">
        <v>21.2</v>
      </c>
      <c r="D37" s="32">
        <f t="shared" si="1"/>
        <v>92.855999999999995</v>
      </c>
      <c r="E37" s="21">
        <v>12.9</v>
      </c>
      <c r="F37" s="33">
        <f t="shared" si="1"/>
        <v>56.502000000000002</v>
      </c>
      <c r="G37" s="18">
        <v>4.4000000000000004</v>
      </c>
      <c r="H37" s="34">
        <f t="shared" si="0"/>
        <v>19.271999999999998</v>
      </c>
      <c r="I37" s="13"/>
    </row>
    <row r="38" spans="1:13" ht="18" x14ac:dyDescent="0.25">
      <c r="A38" s="20">
        <v>60</v>
      </c>
      <c r="B38" s="20">
        <v>50</v>
      </c>
      <c r="C38" s="21">
        <v>14.5</v>
      </c>
      <c r="D38" s="32">
        <f t="shared" si="1"/>
        <v>63.51</v>
      </c>
      <c r="E38" s="21">
        <v>8.8000000000000007</v>
      </c>
      <c r="F38" s="33">
        <f t="shared" si="1"/>
        <v>38.543999999999997</v>
      </c>
      <c r="G38" s="18">
        <v>3</v>
      </c>
      <c r="H38" s="34">
        <f t="shared" si="0"/>
        <v>13.14</v>
      </c>
      <c r="I38" s="13"/>
    </row>
    <row r="39" spans="1:13" ht="18" x14ac:dyDescent="0.25">
      <c r="A39" s="20">
        <v>95</v>
      </c>
      <c r="B39" s="20" t="s">
        <v>37</v>
      </c>
      <c r="C39" s="21">
        <v>18.5</v>
      </c>
      <c r="D39" s="32">
        <f t="shared" si="1"/>
        <v>81.03</v>
      </c>
      <c r="E39" s="21">
        <v>11.3</v>
      </c>
      <c r="F39" s="33">
        <f t="shared" si="1"/>
        <v>49.494</v>
      </c>
      <c r="G39" s="18">
        <v>3.8</v>
      </c>
      <c r="H39" s="34">
        <f t="shared" si="0"/>
        <v>16.643999999999998</v>
      </c>
      <c r="I39" s="13"/>
    </row>
    <row r="40" spans="1:13" ht="18.75" thickBot="1" x14ac:dyDescent="0.3">
      <c r="A40" s="22">
        <v>95</v>
      </c>
      <c r="B40" s="22">
        <v>50</v>
      </c>
      <c r="C40" s="26">
        <v>13.1</v>
      </c>
      <c r="D40" s="32">
        <f t="shared" si="1"/>
        <v>57.378</v>
      </c>
      <c r="E40" s="26">
        <v>8</v>
      </c>
      <c r="F40" s="33">
        <f t="shared" si="1"/>
        <v>35.04</v>
      </c>
      <c r="G40" s="25">
        <v>2.7</v>
      </c>
      <c r="H40" s="34">
        <f t="shared" si="0"/>
        <v>11.826000000000001</v>
      </c>
      <c r="I40" s="13"/>
    </row>
    <row r="41" spans="1:13" ht="18.75" thickTop="1" x14ac:dyDescent="0.25">
      <c r="A41" s="12"/>
      <c r="B41" s="12" t="s">
        <v>45</v>
      </c>
      <c r="C41" s="35">
        <f t="shared" ref="C41:H41" si="2">MAX(C30:C40)</f>
        <v>27.8</v>
      </c>
      <c r="D41" s="35">
        <f t="shared" si="2"/>
        <v>121.764</v>
      </c>
      <c r="E41" s="35">
        <f t="shared" si="2"/>
        <v>16.899999999999999</v>
      </c>
      <c r="F41" s="35">
        <f t="shared" si="2"/>
        <v>74.022000000000006</v>
      </c>
      <c r="G41" s="35">
        <f t="shared" si="2"/>
        <v>5.9</v>
      </c>
      <c r="H41" s="35">
        <f t="shared" si="2"/>
        <v>25.841999999999999</v>
      </c>
      <c r="I41" s="13"/>
    </row>
    <row r="42" spans="1:13" ht="18" x14ac:dyDescent="0.25">
      <c r="A42" s="4"/>
      <c r="B42" s="18" t="s">
        <v>46</v>
      </c>
      <c r="C42" s="21">
        <v>24.9</v>
      </c>
      <c r="D42" s="21">
        <f>+C42*4.38</f>
        <v>109.062</v>
      </c>
      <c r="E42" s="21">
        <f>+E33</f>
        <v>15.2</v>
      </c>
      <c r="F42" s="21">
        <f>+E42*4.38</f>
        <v>66.575999999999993</v>
      </c>
      <c r="G42" s="21">
        <f>+G33</f>
        <v>5.0999999999999996</v>
      </c>
      <c r="H42" s="21">
        <f>+G42*4.38</f>
        <v>22.337999999999997</v>
      </c>
      <c r="I42" s="13"/>
    </row>
    <row r="43" spans="1:13" ht="18" x14ac:dyDescent="0.25">
      <c r="G43" s="13"/>
      <c r="H43" s="13"/>
      <c r="I43" s="13"/>
    </row>
    <row r="44" spans="1:13" ht="15" x14ac:dyDescent="0.2">
      <c r="A44" s="3" t="s">
        <v>25</v>
      </c>
      <c r="B44" s="3"/>
      <c r="C44" s="3"/>
      <c r="D44" s="3"/>
      <c r="E44" s="1"/>
      <c r="F44" s="1"/>
      <c r="G44" s="1"/>
      <c r="H44" s="1"/>
      <c r="I44" s="1"/>
      <c r="J44" s="1"/>
      <c r="K44" s="1"/>
      <c r="L44" s="1"/>
      <c r="M44" s="1"/>
    </row>
    <row r="45" spans="1:13" ht="15" x14ac:dyDescent="0.2">
      <c r="A45" s="18" t="s">
        <v>24</v>
      </c>
      <c r="B45" s="19">
        <v>6.6E-3</v>
      </c>
      <c r="C45" s="18" t="s">
        <v>15</v>
      </c>
      <c r="D45" s="3"/>
      <c r="E45" s="1"/>
      <c r="F45" s="1"/>
      <c r="G45" s="1"/>
      <c r="H45" s="1"/>
      <c r="I45" s="1"/>
      <c r="J45" s="1"/>
      <c r="K45" s="1"/>
      <c r="L45" s="1"/>
      <c r="M45" s="1"/>
    </row>
    <row r="46" spans="1:13" ht="19.5" x14ac:dyDescent="0.35">
      <c r="A46" s="18" t="s">
        <v>66</v>
      </c>
      <c r="B46" s="19">
        <v>3.3999999999999998E-3</v>
      </c>
      <c r="C46" s="18" t="s">
        <v>15</v>
      </c>
      <c r="D46" s="3"/>
      <c r="E46" s="1"/>
      <c r="F46" s="1"/>
      <c r="G46" s="1"/>
      <c r="H46" s="1"/>
      <c r="I46" s="1"/>
      <c r="J46" s="1"/>
      <c r="K46" s="1"/>
      <c r="L46" s="1"/>
      <c r="M46" s="1"/>
    </row>
    <row r="47" spans="1:13" ht="15" x14ac:dyDescent="0.2">
      <c r="A47" s="18" t="s">
        <v>28</v>
      </c>
      <c r="B47" s="19">
        <v>7.1000000000000002E-4</v>
      </c>
      <c r="C47" s="18" t="s">
        <v>15</v>
      </c>
      <c r="D47" s="3"/>
      <c r="E47" s="1"/>
      <c r="F47" s="1"/>
      <c r="G47" s="1"/>
      <c r="H47" s="1"/>
      <c r="I47" s="1"/>
      <c r="J47" s="1"/>
      <c r="K47" s="1"/>
      <c r="L47" s="1"/>
      <c r="M47" s="1"/>
    </row>
    <row r="48" spans="1:13" ht="15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ht="15.75" x14ac:dyDescent="0.25">
      <c r="A49" s="10" t="s">
        <v>30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ht="15" x14ac:dyDescent="0.2">
      <c r="A50" s="5"/>
      <c r="B50" s="6" t="s">
        <v>33</v>
      </c>
      <c r="C50" s="6" t="s">
        <v>29</v>
      </c>
      <c r="D50" s="1"/>
    </row>
    <row r="51" spans="1:13" ht="15" x14ac:dyDescent="0.2">
      <c r="A51" s="4" t="s">
        <v>31</v>
      </c>
      <c r="B51" s="7" t="s">
        <v>34</v>
      </c>
      <c r="C51" s="7" t="s">
        <v>22</v>
      </c>
      <c r="D51" s="1"/>
    </row>
    <row r="52" spans="1:13" ht="15" x14ac:dyDescent="0.2">
      <c r="A52" s="18" t="s">
        <v>32</v>
      </c>
      <c r="B52" s="36">
        <f>+C41</f>
        <v>27.8</v>
      </c>
      <c r="C52" s="37">
        <f>+(D42*0.8)+(D41*0.2)</f>
        <v>111.6024</v>
      </c>
      <c r="D52" s="27" t="s">
        <v>43</v>
      </c>
    </row>
    <row r="53" spans="1:13" ht="15" x14ac:dyDescent="0.2">
      <c r="A53" s="18" t="s">
        <v>13</v>
      </c>
      <c r="B53" s="38">
        <f>+E41</f>
        <v>16.899999999999999</v>
      </c>
      <c r="C53" s="39">
        <f>+(F41*0.2)+(F42*0.8)</f>
        <v>68.065200000000004</v>
      </c>
      <c r="D53" s="27" t="s">
        <v>43</v>
      </c>
    </row>
    <row r="54" spans="1:13" ht="15" x14ac:dyDescent="0.2">
      <c r="A54" s="18" t="s">
        <v>14</v>
      </c>
      <c r="B54" s="40">
        <f>+G41*0.1</f>
        <v>0.59000000000000008</v>
      </c>
      <c r="C54" s="41">
        <f>+((0.8*H42)+(0.2*H41))*0.1</f>
        <v>2.3038800000000004</v>
      </c>
      <c r="D54" s="27" t="s">
        <v>68</v>
      </c>
    </row>
    <row r="55" spans="1:13" ht="15" x14ac:dyDescent="0.2">
      <c r="A55" s="18" t="s">
        <v>24</v>
      </c>
      <c r="B55" s="42">
        <f>+B45*$B$19</f>
        <v>2.5462599624000002</v>
      </c>
      <c r="C55" s="43">
        <f>+B45*B21*8760/2000</f>
        <v>6.1038301911839996</v>
      </c>
      <c r="D55" s="27" t="s">
        <v>44</v>
      </c>
    </row>
    <row r="56" spans="1:13" ht="19.5" x14ac:dyDescent="0.35">
      <c r="A56" s="18" t="s">
        <v>66</v>
      </c>
      <c r="B56" s="42">
        <f>+B46*$B$19</f>
        <v>1.3117096775999999</v>
      </c>
      <c r="C56" s="43">
        <f>+B46*B21*8760/2000</f>
        <v>3.1443973712159994</v>
      </c>
      <c r="D56" s="27" t="s">
        <v>44</v>
      </c>
    </row>
    <row r="57" spans="1:13" ht="15" x14ac:dyDescent="0.2">
      <c r="A57" s="18" t="s">
        <v>28</v>
      </c>
      <c r="B57" s="42">
        <f>+B47*B19</f>
        <v>0.27391584444</v>
      </c>
      <c r="C57" s="43">
        <f>+B47*B21*8760/2000</f>
        <v>0.6566241569304001</v>
      </c>
      <c r="D57" s="27" t="s">
        <v>44</v>
      </c>
    </row>
    <row r="59" spans="1:13" ht="15.75" x14ac:dyDescent="0.25">
      <c r="A59" s="10" t="s">
        <v>69</v>
      </c>
    </row>
    <row r="60" spans="1:13" ht="15" x14ac:dyDescent="0.2">
      <c r="A60" s="5"/>
      <c r="B60" s="6" t="s">
        <v>33</v>
      </c>
      <c r="C60" s="6" t="s">
        <v>29</v>
      </c>
    </row>
    <row r="61" spans="1:13" ht="15" x14ac:dyDescent="0.2">
      <c r="A61" s="4" t="s">
        <v>31</v>
      </c>
      <c r="B61" s="7" t="s">
        <v>34</v>
      </c>
      <c r="C61" s="7" t="s">
        <v>22</v>
      </c>
    </row>
    <row r="62" spans="1:13" ht="15" x14ac:dyDescent="0.2">
      <c r="A62" s="18" t="s">
        <v>32</v>
      </c>
      <c r="B62" s="44">
        <f t="shared" ref="B62:B67" si="3">+B52*1.15</f>
        <v>31.97</v>
      </c>
      <c r="C62" s="45">
        <f t="shared" ref="C62:C67" si="4">+C52*1.15</f>
        <v>128.34276</v>
      </c>
    </row>
    <row r="63" spans="1:13" ht="15" x14ac:dyDescent="0.2">
      <c r="A63" s="18" t="s">
        <v>13</v>
      </c>
      <c r="B63" s="44">
        <f t="shared" si="3"/>
        <v>19.434999999999995</v>
      </c>
      <c r="C63" s="45">
        <f t="shared" si="4"/>
        <v>78.274979999999999</v>
      </c>
    </row>
    <row r="64" spans="1:13" ht="15" x14ac:dyDescent="0.2">
      <c r="A64" s="18" t="s">
        <v>14</v>
      </c>
      <c r="B64" s="44">
        <f t="shared" si="3"/>
        <v>0.67849999999999999</v>
      </c>
      <c r="C64" s="45">
        <f t="shared" si="4"/>
        <v>2.6494620000000002</v>
      </c>
    </row>
    <row r="65" spans="1:3" ht="15" x14ac:dyDescent="0.2">
      <c r="A65" s="18" t="s">
        <v>24</v>
      </c>
      <c r="B65" s="44">
        <f t="shared" si="3"/>
        <v>2.9281989567600002</v>
      </c>
      <c r="C65" s="45">
        <f t="shared" si="4"/>
        <v>7.0194047198615994</v>
      </c>
    </row>
    <row r="66" spans="1:3" ht="19.5" x14ac:dyDescent="0.35">
      <c r="A66" s="18" t="s">
        <v>66</v>
      </c>
      <c r="B66" s="44">
        <f t="shared" si="3"/>
        <v>1.5084661292399997</v>
      </c>
      <c r="C66" s="45">
        <f t="shared" si="4"/>
        <v>3.616056976898399</v>
      </c>
    </row>
    <row r="67" spans="1:3" ht="15" x14ac:dyDescent="0.2">
      <c r="A67" s="18" t="s">
        <v>28</v>
      </c>
      <c r="B67" s="44">
        <f t="shared" si="3"/>
        <v>0.31500322110599999</v>
      </c>
      <c r="C67" s="45">
        <f t="shared" si="4"/>
        <v>0.75511778046996003</v>
      </c>
    </row>
  </sheetData>
  <mergeCells count="4">
    <mergeCell ref="A5:K5"/>
    <mergeCell ref="C28:D28"/>
    <mergeCell ref="E28:F28"/>
    <mergeCell ref="G28:H28"/>
  </mergeCells>
  <phoneticPr fontId="9" type="noConversion"/>
  <pageMargins left="0.75" right="0.25" top="0.63" bottom="0.42" header="0.5" footer="0.2"/>
  <pageSetup scale="63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9"/>
  <sheetViews>
    <sheetView showFormulas="1" topLeftCell="A28" zoomScale="75" workbookViewId="0">
      <selection activeCell="E13" sqref="E13"/>
    </sheetView>
  </sheetViews>
  <sheetFormatPr defaultRowHeight="12.75" x14ac:dyDescent="0.2"/>
  <cols>
    <col min="1" max="1" width="15.28515625" customWidth="1" collapsed="1"/>
    <col min="2" max="2" width="10.28515625" customWidth="1" collapsed="1"/>
    <col min="3" max="3" width="10.85546875" customWidth="1" collapsed="1"/>
    <col min="4" max="4" width="12" customWidth="1" collapsed="1"/>
  </cols>
  <sheetData>
    <row r="1" spans="1:4" ht="23.25" x14ac:dyDescent="0.35">
      <c r="A1" s="15" t="s">
        <v>0</v>
      </c>
    </row>
    <row r="2" spans="1:4" ht="23.25" x14ac:dyDescent="0.35">
      <c r="A2" s="15" t="s">
        <v>1</v>
      </c>
    </row>
    <row r="3" spans="1:4" ht="23.25" x14ac:dyDescent="0.35">
      <c r="A3" s="15" t="s">
        <v>48</v>
      </c>
    </row>
    <row r="4" spans="1:4" ht="15.75" customHeight="1" x14ac:dyDescent="0.2"/>
    <row r="5" spans="1:4" ht="15.75" customHeight="1" x14ac:dyDescent="0.2"/>
    <row r="6" spans="1:4" ht="15.75" customHeight="1" x14ac:dyDescent="0.25">
      <c r="A6" s="10" t="s">
        <v>72</v>
      </c>
    </row>
    <row r="7" spans="1:4" ht="15.75" customHeight="1" x14ac:dyDescent="0.2">
      <c r="A7" s="20" t="s">
        <v>12</v>
      </c>
      <c r="B7" s="20" t="s">
        <v>17</v>
      </c>
      <c r="C7" s="20" t="s">
        <v>18</v>
      </c>
      <c r="D7" s="20" t="s">
        <v>20</v>
      </c>
    </row>
    <row r="8" spans="1:4" ht="15.75" customHeight="1" x14ac:dyDescent="0.2">
      <c r="A8" s="20">
        <v>101</v>
      </c>
      <c r="B8" s="29">
        <v>106.98</v>
      </c>
      <c r="C8" s="29">
        <v>92</v>
      </c>
      <c r="D8" s="29">
        <v>1.5</v>
      </c>
    </row>
    <row r="9" spans="1:4" ht="15.75" customHeight="1" x14ac:dyDescent="0.2">
      <c r="A9" s="20">
        <v>102</v>
      </c>
      <c r="B9" s="29">
        <v>98.83</v>
      </c>
      <c r="C9" s="29">
        <v>85</v>
      </c>
      <c r="D9" s="29">
        <v>1.38</v>
      </c>
    </row>
    <row r="10" spans="1:4" ht="15.75" customHeight="1" x14ac:dyDescent="0.2">
      <c r="A10" s="20">
        <v>103</v>
      </c>
      <c r="B10" s="29">
        <v>120.08</v>
      </c>
      <c r="C10" s="29">
        <v>103.27</v>
      </c>
      <c r="D10" s="29">
        <v>1.68</v>
      </c>
    </row>
    <row r="11" spans="1:4" ht="15.75" customHeight="1" x14ac:dyDescent="0.2">
      <c r="A11" s="20">
        <v>121</v>
      </c>
      <c r="B11" s="29">
        <v>0</v>
      </c>
      <c r="C11" s="29">
        <v>0</v>
      </c>
      <c r="D11" s="29">
        <v>0</v>
      </c>
    </row>
    <row r="12" spans="1:4" ht="15.75" customHeight="1" x14ac:dyDescent="0.2">
      <c r="A12" s="20">
        <v>122</v>
      </c>
      <c r="B12" s="29">
        <v>0</v>
      </c>
      <c r="C12" s="29">
        <v>0</v>
      </c>
      <c r="D12" s="29">
        <v>0</v>
      </c>
    </row>
    <row r="13" spans="1:4" ht="15" x14ac:dyDescent="0.2">
      <c r="A13" s="20" t="s">
        <v>19</v>
      </c>
      <c r="B13" s="46">
        <f>SUM(B8:B12)</f>
        <v>325.89</v>
      </c>
      <c r="C13" s="46">
        <f>SUM(C8:C12)</f>
        <v>280.27</v>
      </c>
      <c r="D13" s="46">
        <f>SUM(D8:D12)</f>
        <v>4.5599999999999996</v>
      </c>
    </row>
    <row r="14" spans="1:4" ht="15" x14ac:dyDescent="0.2">
      <c r="A14" s="2"/>
      <c r="B14" s="30"/>
      <c r="C14" s="30"/>
      <c r="D14" s="30"/>
    </row>
    <row r="15" spans="1:4" ht="15.75" x14ac:dyDescent="0.25">
      <c r="A15" s="10" t="s">
        <v>73</v>
      </c>
      <c r="B15" s="28"/>
      <c r="C15" s="28"/>
      <c r="D15" s="28"/>
    </row>
    <row r="16" spans="1:4" ht="15" x14ac:dyDescent="0.2">
      <c r="A16" s="20" t="s">
        <v>12</v>
      </c>
      <c r="B16" s="29" t="s">
        <v>17</v>
      </c>
      <c r="C16" s="29" t="s">
        <v>18</v>
      </c>
      <c r="D16" s="29" t="s">
        <v>20</v>
      </c>
    </row>
    <row r="17" spans="1:4" ht="15" x14ac:dyDescent="0.2">
      <c r="A17" s="20">
        <v>101</v>
      </c>
      <c r="B17" s="29">
        <v>280.87</v>
      </c>
      <c r="C17" s="29">
        <v>472.77</v>
      </c>
      <c r="D17" s="29">
        <v>3.76</v>
      </c>
    </row>
    <row r="18" spans="1:4" ht="15" x14ac:dyDescent="0.2">
      <c r="A18" s="20">
        <v>102</v>
      </c>
      <c r="B18" s="29">
        <v>236.95</v>
      </c>
      <c r="C18" s="29">
        <v>398.84</v>
      </c>
      <c r="D18" s="29">
        <v>3.17</v>
      </c>
    </row>
    <row r="19" spans="1:4" ht="15" x14ac:dyDescent="0.2">
      <c r="A19" s="20">
        <v>103</v>
      </c>
      <c r="B19" s="29">
        <v>214.98</v>
      </c>
      <c r="C19" s="29">
        <v>361.87</v>
      </c>
      <c r="D19" s="29">
        <v>2.88</v>
      </c>
    </row>
    <row r="20" spans="1:4" ht="15" x14ac:dyDescent="0.2">
      <c r="A20" s="20">
        <v>121</v>
      </c>
      <c r="B20" s="29">
        <v>5.26</v>
      </c>
      <c r="C20" s="29">
        <v>8.85</v>
      </c>
      <c r="D20" s="29">
        <v>7.0000000000000007E-2</v>
      </c>
    </row>
    <row r="21" spans="1:4" ht="15" x14ac:dyDescent="0.2">
      <c r="A21" s="20">
        <v>122</v>
      </c>
      <c r="B21" s="29">
        <v>0</v>
      </c>
      <c r="C21" s="29">
        <v>0</v>
      </c>
      <c r="D21" s="29">
        <v>0</v>
      </c>
    </row>
    <row r="22" spans="1:4" ht="15" x14ac:dyDescent="0.2">
      <c r="A22" s="20" t="s">
        <v>19</v>
      </c>
      <c r="B22" s="47">
        <f>SUM(B17:B21)</f>
        <v>738.06</v>
      </c>
      <c r="C22" s="47">
        <f>SUM(C17:C21)</f>
        <v>1242.33</v>
      </c>
      <c r="D22" s="47">
        <f>SUM(D17:D21)</f>
        <v>9.879999999999999</v>
      </c>
    </row>
    <row r="23" spans="1:4" ht="15" x14ac:dyDescent="0.2">
      <c r="A23" s="2"/>
      <c r="B23" s="30"/>
      <c r="C23" s="30"/>
      <c r="D23" s="30"/>
    </row>
    <row r="24" spans="1:4" ht="15.75" x14ac:dyDescent="0.25">
      <c r="A24" s="10" t="s">
        <v>74</v>
      </c>
      <c r="B24" s="8"/>
      <c r="C24" s="8"/>
      <c r="D24" s="8"/>
    </row>
    <row r="25" spans="1:4" ht="15" x14ac:dyDescent="0.2">
      <c r="A25" s="20" t="s">
        <v>12</v>
      </c>
      <c r="B25" s="29" t="s">
        <v>17</v>
      </c>
      <c r="C25" s="29" t="s">
        <v>18</v>
      </c>
      <c r="D25" s="29" t="s">
        <v>20</v>
      </c>
    </row>
    <row r="26" spans="1:4" ht="15" x14ac:dyDescent="0.2">
      <c r="A26" s="20">
        <v>101</v>
      </c>
      <c r="B26" s="48">
        <f t="shared" ref="B26:D30" si="0">(B8+B17)/2</f>
        <v>193.92500000000001</v>
      </c>
      <c r="C26" s="49">
        <f t="shared" si="0"/>
        <v>282.38499999999999</v>
      </c>
      <c r="D26" s="50">
        <f t="shared" si="0"/>
        <v>2.63</v>
      </c>
    </row>
    <row r="27" spans="1:4" ht="15" x14ac:dyDescent="0.2">
      <c r="A27" s="20">
        <v>102</v>
      </c>
      <c r="B27" s="48">
        <f t="shared" si="0"/>
        <v>167.89</v>
      </c>
      <c r="C27" s="49">
        <f t="shared" si="0"/>
        <v>241.92</v>
      </c>
      <c r="D27" s="50">
        <f t="shared" si="0"/>
        <v>2.2749999999999999</v>
      </c>
    </row>
    <row r="28" spans="1:4" ht="15" x14ac:dyDescent="0.2">
      <c r="A28" s="20">
        <v>103</v>
      </c>
      <c r="B28" s="48">
        <f t="shared" si="0"/>
        <v>167.53</v>
      </c>
      <c r="C28" s="49">
        <f t="shared" si="0"/>
        <v>232.57</v>
      </c>
      <c r="D28" s="50">
        <f t="shared" si="0"/>
        <v>2.2799999999999998</v>
      </c>
    </row>
    <row r="29" spans="1:4" ht="15" x14ac:dyDescent="0.2">
      <c r="A29" s="20">
        <v>121</v>
      </c>
      <c r="B29" s="48">
        <f t="shared" si="0"/>
        <v>2.63</v>
      </c>
      <c r="C29" s="49">
        <f t="shared" si="0"/>
        <v>4.4249999999999998</v>
      </c>
      <c r="D29" s="50">
        <f t="shared" si="0"/>
        <v>3.5000000000000003E-2</v>
      </c>
    </row>
    <row r="30" spans="1:4" ht="15" x14ac:dyDescent="0.2">
      <c r="A30" s="20">
        <v>122</v>
      </c>
      <c r="B30" s="48">
        <f t="shared" si="0"/>
        <v>0</v>
      </c>
      <c r="C30" s="49">
        <f t="shared" si="0"/>
        <v>0</v>
      </c>
      <c r="D30" s="50">
        <f t="shared" si="0"/>
        <v>0</v>
      </c>
    </row>
    <row r="31" spans="1:4" ht="15" x14ac:dyDescent="0.2">
      <c r="A31" s="20" t="s">
        <v>19</v>
      </c>
      <c r="B31" s="51">
        <f>SUM(B26:B30)</f>
        <v>531.97500000000002</v>
      </c>
      <c r="C31" s="51">
        <f>SUM(C26:C30)</f>
        <v>761.3</v>
      </c>
      <c r="D31" s="51">
        <f>SUM(D26:D30)</f>
        <v>7.2199999999999989</v>
      </c>
    </row>
    <row r="32" spans="1:4" ht="15" x14ac:dyDescent="0.2">
      <c r="A32" s="1"/>
      <c r="B32" s="8"/>
      <c r="C32" s="8"/>
      <c r="D32" s="8"/>
    </row>
    <row r="33" spans="1:4" ht="15.75" x14ac:dyDescent="0.25">
      <c r="A33" s="10" t="s">
        <v>75</v>
      </c>
      <c r="B33" s="8"/>
      <c r="C33" s="8"/>
      <c r="D33" s="8"/>
    </row>
    <row r="34" spans="1:4" ht="15" x14ac:dyDescent="0.2">
      <c r="A34" s="18" t="s">
        <v>21</v>
      </c>
      <c r="B34" s="29">
        <v>128.34</v>
      </c>
      <c r="C34" s="29">
        <v>78.27</v>
      </c>
      <c r="D34" s="29">
        <v>2.65</v>
      </c>
    </row>
    <row r="35" spans="1:4" ht="15" x14ac:dyDescent="0.2">
      <c r="A35" s="18" t="s">
        <v>76</v>
      </c>
      <c r="B35" s="29">
        <v>9.23</v>
      </c>
      <c r="C35" s="29">
        <v>9.65</v>
      </c>
      <c r="D35" s="29">
        <v>0.12</v>
      </c>
    </row>
    <row r="36" spans="1:4" ht="15" x14ac:dyDescent="0.2">
      <c r="A36" s="18" t="s">
        <v>26</v>
      </c>
      <c r="B36" s="52">
        <f>SUM(B34:B35)</f>
        <v>137.57</v>
      </c>
      <c r="C36" s="52">
        <f>SUM(C34:C35)</f>
        <v>87.92</v>
      </c>
      <c r="D36" s="52">
        <f>SUM(D34:D35)</f>
        <v>2.77</v>
      </c>
    </row>
    <row r="37" spans="1:4" ht="15" x14ac:dyDescent="0.2">
      <c r="A37" s="1"/>
      <c r="B37" s="14"/>
      <c r="C37" s="14"/>
      <c r="D37" s="14"/>
    </row>
    <row r="38" spans="1:4" ht="15.75" x14ac:dyDescent="0.25">
      <c r="A38" s="10" t="s">
        <v>77</v>
      </c>
      <c r="B38" s="8"/>
      <c r="C38" s="8"/>
      <c r="D38" s="8"/>
    </row>
    <row r="39" spans="1:4" ht="15" x14ac:dyDescent="0.2">
      <c r="A39" s="1"/>
      <c r="B39" s="53">
        <f>+B31</f>
        <v>531.97500000000002</v>
      </c>
      <c r="C39" s="53">
        <f>+C31</f>
        <v>761.3</v>
      </c>
      <c r="D39" s="53">
        <f>+D31</f>
        <v>7.2199999999999989</v>
      </c>
    </row>
    <row r="40" spans="1:4" ht="15" x14ac:dyDescent="0.2">
      <c r="A40" s="1"/>
      <c r="B40" s="31"/>
      <c r="C40" s="31"/>
      <c r="D40" s="31"/>
    </row>
    <row r="41" spans="1:4" ht="15.75" x14ac:dyDescent="0.25">
      <c r="A41" s="10" t="s">
        <v>78</v>
      </c>
      <c r="B41" s="31"/>
      <c r="C41" s="31"/>
      <c r="D41" s="31"/>
    </row>
    <row r="42" spans="1:4" ht="15" x14ac:dyDescent="0.2">
      <c r="A42" s="1"/>
      <c r="B42" s="54">
        <f>+B36-B39</f>
        <v>-394.40500000000003</v>
      </c>
      <c r="C42" s="54">
        <f>+C36-C39</f>
        <v>-673.38</v>
      </c>
      <c r="D42" s="54">
        <f>+D36-D39</f>
        <v>-4.4499999999999993</v>
      </c>
    </row>
    <row r="43" spans="1:4" ht="15" x14ac:dyDescent="0.2">
      <c r="A43" s="1"/>
      <c r="B43" s="30"/>
      <c r="C43" s="30"/>
      <c r="D43" s="30"/>
    </row>
    <row r="44" spans="1:4" ht="15.75" x14ac:dyDescent="0.25">
      <c r="A44" s="10" t="s">
        <v>70</v>
      </c>
      <c r="B44" s="1"/>
      <c r="C44" s="1"/>
      <c r="D44" s="1"/>
    </row>
    <row r="45" spans="1:4" ht="15" x14ac:dyDescent="0.2">
      <c r="A45" s="1" t="s">
        <v>71</v>
      </c>
    </row>
    <row r="46" spans="1:4" ht="15" x14ac:dyDescent="0.2">
      <c r="A46" s="1" t="s">
        <v>47</v>
      </c>
    </row>
    <row r="47" spans="1:4" ht="15" x14ac:dyDescent="0.2">
      <c r="A47" s="1" t="s">
        <v>79</v>
      </c>
    </row>
    <row r="48" spans="1:4" ht="15" x14ac:dyDescent="0.2">
      <c r="A48" s="1" t="s">
        <v>80</v>
      </c>
    </row>
    <row r="49" spans="1:1" ht="15" x14ac:dyDescent="0.2">
      <c r="A49" s="1" t="s">
        <v>81</v>
      </c>
    </row>
  </sheetData>
  <phoneticPr fontId="9" type="noConversion"/>
  <pageMargins left="0.75" right="0.75" top="1" bottom="1" header="0.5" footer="0.5"/>
  <pageSetup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Turbine</vt:lpstr>
      <vt:lpstr>Netting 2</vt:lpstr>
      <vt:lpstr>Turbine!Print_Area</vt:lpstr>
    </vt:vector>
  </TitlesOfParts>
  <Company>TransTexas Gas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Faraz Hussain</dc:creator>
  <cp:lastModifiedBy>wsdou</cp:lastModifiedBy>
  <cp:lastPrinted>2001-07-11T16:22:15Z</cp:lastPrinted>
  <dcterms:created xsi:type="dcterms:W3CDTF">2001-03-16T01:11:34Z</dcterms:created>
  <dcterms:modified xsi:type="dcterms:W3CDTF">2016-01-05T08:08:41Z</dcterms:modified>
</cp:coreProperties>
</file>