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D:\research\spreadsheets\experiment\tse\recall-enron\groundtruth\d\"/>
    </mc:Choice>
  </mc:AlternateContent>
  <bookViews>
    <workbookView xWindow="600" yWindow="480" windowWidth="8880" windowHeight="4560" tabRatio="823" activeTab="1"/>
  </bookViews>
  <sheets>
    <sheet name="ENA_9" sheetId="11" r:id="rId1"/>
    <sheet name="QL2918.1" sheetId="39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F9" i="11" l="1"/>
  <c r="I9" i="11" s="1"/>
  <c r="J9" i="11"/>
  <c r="J22" i="11" s="1"/>
  <c r="F10" i="11"/>
  <c r="H10" i="11"/>
  <c r="F11" i="11"/>
  <c r="H11" i="11"/>
  <c r="I11" i="11" s="1"/>
  <c r="K11" i="11" s="1"/>
  <c r="F12" i="11"/>
  <c r="I12" i="11" s="1"/>
  <c r="K12" i="11" s="1"/>
  <c r="H12" i="11"/>
  <c r="F13" i="11"/>
  <c r="H13" i="11"/>
  <c r="F14" i="11"/>
  <c r="H14" i="11"/>
  <c r="I14" i="11" s="1"/>
  <c r="K14" i="11" s="1"/>
  <c r="F15" i="11"/>
  <c r="H15" i="11"/>
  <c r="F16" i="11"/>
  <c r="H16" i="11"/>
  <c r="I16" i="11"/>
  <c r="K16" i="11" s="1"/>
  <c r="F17" i="11"/>
  <c r="H17" i="11"/>
  <c r="F18" i="11"/>
  <c r="H18" i="11"/>
  <c r="I18" i="11" s="1"/>
  <c r="K18" i="11" s="1"/>
  <c r="F19" i="11"/>
  <c r="H19" i="11"/>
  <c r="F20" i="11"/>
  <c r="H20" i="11"/>
  <c r="I20" i="11" s="1"/>
  <c r="K20" i="11" s="1"/>
  <c r="F26" i="11"/>
  <c r="F27" i="11"/>
  <c r="H27" i="11"/>
  <c r="F28" i="11"/>
  <c r="H28" i="11"/>
  <c r="F29" i="11"/>
  <c r="H29" i="11"/>
  <c r="F30" i="11"/>
  <c r="H30" i="11"/>
  <c r="I30" i="11"/>
  <c r="K30" i="11" s="1"/>
  <c r="F31" i="11"/>
  <c r="H31" i="11"/>
  <c r="I31" i="11"/>
  <c r="K31" i="11" s="1"/>
  <c r="F32" i="11"/>
  <c r="H32" i="11"/>
  <c r="F33" i="11"/>
  <c r="I33" i="11" s="1"/>
  <c r="K33" i="11" s="1"/>
  <c r="H33" i="11"/>
  <c r="F34" i="11"/>
  <c r="H34" i="11"/>
  <c r="I34" i="11"/>
  <c r="K34" i="11" s="1"/>
  <c r="F35" i="11"/>
  <c r="H35" i="11"/>
  <c r="F36" i="11"/>
  <c r="H36" i="11"/>
  <c r="I36" i="11" s="1"/>
  <c r="K36" i="11" s="1"/>
  <c r="F37" i="11"/>
  <c r="I37" i="11" s="1"/>
  <c r="K37" i="11" s="1"/>
  <c r="H37" i="11"/>
  <c r="D10" i="39"/>
  <c r="F10" i="39"/>
  <c r="H10" i="39"/>
  <c r="D11" i="39"/>
  <c r="F11" i="39"/>
  <c r="H11" i="39"/>
  <c r="D12" i="39"/>
  <c r="F12" i="39"/>
  <c r="H12" i="39"/>
  <c r="D13" i="39"/>
  <c r="F13" i="39"/>
  <c r="H13" i="39"/>
  <c r="D14" i="39"/>
  <c r="F14" i="39"/>
  <c r="H14" i="39"/>
  <c r="D15" i="39"/>
  <c r="I15" i="39" s="1"/>
  <c r="K15" i="39" s="1"/>
  <c r="F15" i="39"/>
  <c r="H15" i="39"/>
  <c r="D16" i="39"/>
  <c r="F16" i="39"/>
  <c r="I16" i="39" s="1"/>
  <c r="K16" i="39" s="1"/>
  <c r="H16" i="39"/>
  <c r="D17" i="39"/>
  <c r="F17" i="39"/>
  <c r="H17" i="39"/>
  <c r="D18" i="39"/>
  <c r="F18" i="39"/>
  <c r="I18" i="39" s="1"/>
  <c r="K18" i="39" s="1"/>
  <c r="H18" i="39"/>
  <c r="D19" i="39"/>
  <c r="F19" i="39"/>
  <c r="H19" i="39"/>
  <c r="D20" i="39"/>
  <c r="F20" i="39"/>
  <c r="H20" i="39"/>
  <c r="D21" i="39"/>
  <c r="F21" i="39"/>
  <c r="H21" i="39"/>
  <c r="J22" i="39"/>
  <c r="J25" i="39" s="1"/>
  <c r="D35" i="39"/>
  <c r="F35" i="39"/>
  <c r="H35" i="39"/>
  <c r="D36" i="39"/>
  <c r="I36" i="39" s="1"/>
  <c r="F36" i="39"/>
  <c r="H36" i="39"/>
  <c r="D37" i="39"/>
  <c r="F37" i="39"/>
  <c r="H37" i="39"/>
  <c r="D38" i="39"/>
  <c r="F38" i="39"/>
  <c r="H38" i="39"/>
  <c r="D39" i="39"/>
  <c r="F39" i="39"/>
  <c r="H39" i="39"/>
  <c r="I39" i="39" s="1"/>
  <c r="D40" i="39"/>
  <c r="I40" i="39" s="1"/>
  <c r="F40" i="39"/>
  <c r="H40" i="39"/>
  <c r="D41" i="39"/>
  <c r="F41" i="39"/>
  <c r="H41" i="39"/>
  <c r="D42" i="39"/>
  <c r="F42" i="39"/>
  <c r="H42" i="39"/>
  <c r="D43" i="39"/>
  <c r="F43" i="39"/>
  <c r="H43" i="39"/>
  <c r="D44" i="39"/>
  <c r="I44" i="39" s="1"/>
  <c r="F44" i="39"/>
  <c r="H44" i="39"/>
  <c r="D45" i="39"/>
  <c r="F45" i="39"/>
  <c r="H45" i="39"/>
  <c r="D46" i="39"/>
  <c r="F46" i="39"/>
  <c r="H46" i="39"/>
  <c r="I10" i="11" l="1"/>
  <c r="I17" i="39"/>
  <c r="K17" i="39" s="1"/>
  <c r="I19" i="39"/>
  <c r="K19" i="39" s="1"/>
  <c r="I11" i="39"/>
  <c r="K11" i="39" s="1"/>
  <c r="I42" i="39"/>
  <c r="F22" i="39"/>
  <c r="F25" i="39" s="1"/>
  <c r="I45" i="39"/>
  <c r="I37" i="39"/>
  <c r="I14" i="39"/>
  <c r="K14" i="39" s="1"/>
  <c r="I12" i="39"/>
  <c r="K12" i="39" s="1"/>
  <c r="I10" i="39"/>
  <c r="I27" i="11"/>
  <c r="K27" i="11" s="1"/>
  <c r="F22" i="11"/>
  <c r="I32" i="11"/>
  <c r="K32" i="11" s="1"/>
  <c r="I29" i="11"/>
  <c r="K29" i="11" s="1"/>
  <c r="I19" i="11"/>
  <c r="K19" i="11" s="1"/>
  <c r="I13" i="11"/>
  <c r="K13" i="11" s="1"/>
  <c r="I28" i="11"/>
  <c r="K28" i="11" s="1"/>
  <c r="K39" i="11" s="1"/>
  <c r="I26" i="11"/>
  <c r="F39" i="11"/>
  <c r="K10" i="39"/>
  <c r="I20" i="39"/>
  <c r="K20" i="39" s="1"/>
  <c r="I41" i="39"/>
  <c r="I17" i="11"/>
  <c r="K17" i="11" s="1"/>
  <c r="I43" i="39"/>
  <c r="I35" i="39"/>
  <c r="I21" i="39"/>
  <c r="K21" i="39" s="1"/>
  <c r="I13" i="39"/>
  <c r="K13" i="39" s="1"/>
  <c r="I46" i="39"/>
  <c r="I38" i="39"/>
  <c r="I35" i="11"/>
  <c r="K35" i="11" s="1"/>
  <c r="K10" i="11"/>
  <c r="I15" i="11"/>
  <c r="K15" i="11" s="1"/>
  <c r="I47" i="39" l="1"/>
  <c r="I22" i="11"/>
  <c r="I22" i="39"/>
  <c r="I25" i="39" s="1"/>
  <c r="J26" i="11"/>
  <c r="J39" i="11" s="1"/>
  <c r="I39" i="11"/>
  <c r="K22" i="11"/>
  <c r="K22" i="39"/>
  <c r="K25" i="39" s="1"/>
  <c r="F41" i="11"/>
  <c r="J41" i="11" l="1"/>
  <c r="K41" i="11"/>
  <c r="I41" i="11"/>
</calcChain>
</file>

<file path=xl/comments1.xml><?xml version="1.0" encoding="utf-8"?>
<comments xmlns="http://schemas.openxmlformats.org/spreadsheetml/2006/main">
  <authors>
    <author/>
  </authors>
  <commentList>
    <comment ref="I11" authorId="0" shapeId="0">
      <text>
        <t xml:space="preserve">Suggested Repair:((-D11)+H11)*F11
</t>
      </text>
    </comment>
    <comment ref="I12" authorId="0" shapeId="0">
      <text>
        <t xml:space="preserve">Suggested Repair:((-D12)+H12)*F12
</t>
      </text>
    </comment>
    <comment ref="I13" authorId="0" shapeId="0">
      <text>
        <t xml:space="preserve">Suggested Repair:((-D13)+H13)*F13
</t>
      </text>
    </comment>
    <comment ref="I14" authorId="0" shapeId="0">
      <text>
        <t xml:space="preserve">Suggested Repair:((-D14)+H14)*F14
</t>
      </text>
    </comment>
    <comment ref="I15" authorId="0" shapeId="0">
      <text>
        <t xml:space="preserve">Suggested Repair:((-D15)+H15)*F15
</t>
      </text>
    </comment>
    <comment ref="I16" authorId="0" shapeId="0">
      <text>
        <t xml:space="preserve">Suggested Repair:((-D16)+H16)*F16
</t>
      </text>
    </comment>
    <comment ref="I17" authorId="0" shapeId="0">
      <text>
        <t xml:space="preserve">Suggested Repair:((-D17)+H17)*F17
</t>
      </text>
    </comment>
    <comment ref="I18" authorId="0" shapeId="0">
      <text>
        <t xml:space="preserve">Suggested Repair:((-D18)+H18)*F18
</t>
      </text>
    </comment>
    <comment ref="I19" authorId="0" shapeId="0">
      <text>
        <t xml:space="preserve">Suggested Repair:((-D19)+H19)*F19
</t>
      </text>
    </comment>
    <comment ref="I20" authorId="0" shapeId="0">
      <text>
        <t xml:space="preserve">Suggested Repair:((-D20)+H20)*F20
</t>
      </text>
    </comment>
    <comment ref="I21" authorId="0" shapeId="0">
      <text>
        <t xml:space="preserve">Suggested Repair:((-D21)+H21)*F21
</t>
      </text>
    </comment>
  </commentList>
</comments>
</file>

<file path=xl/sharedStrings.xml><?xml version="1.0" encoding="utf-8"?>
<sst xmlns="http://schemas.openxmlformats.org/spreadsheetml/2006/main" count="95" uniqueCount="36">
  <si>
    <t>FUEL HEDGING BOOK</t>
  </si>
  <si>
    <t>Contract</t>
  </si>
  <si>
    <t>Fuel</t>
  </si>
  <si>
    <t>Name</t>
  </si>
  <si>
    <t>Number</t>
  </si>
  <si>
    <t>Price</t>
  </si>
  <si>
    <t>Total</t>
  </si>
  <si>
    <t>Realized</t>
  </si>
  <si>
    <t>Unrealized</t>
  </si>
  <si>
    <t>(4)</t>
  </si>
  <si>
    <t>TW</t>
  </si>
  <si>
    <t>RMTC</t>
  </si>
  <si>
    <t>Over-retention</t>
  </si>
  <si>
    <t>(4)Gain and Losses are a measurement of the effectiveness of meeting the stated hedge objective.</t>
  </si>
  <si>
    <t>TRANSWESTERN PIPELINE COMPANY</t>
  </si>
  <si>
    <t>Prod.</t>
  </si>
  <si>
    <t>Fixed</t>
  </si>
  <si>
    <t>Settled</t>
  </si>
  <si>
    <t>(Gains) and Losses</t>
  </si>
  <si>
    <t>Date</t>
  </si>
  <si>
    <t>Dth</t>
  </si>
  <si>
    <t>El Paso Prmn</t>
  </si>
  <si>
    <t>ENA</t>
  </si>
  <si>
    <t>Enron North America_9</t>
  </si>
  <si>
    <t>Risk Book</t>
  </si>
  <si>
    <t>Fixed Price</t>
  </si>
  <si>
    <t>NYMEX H.H. +</t>
  </si>
  <si>
    <t>Float Price</t>
  </si>
  <si>
    <t>Reliant</t>
  </si>
  <si>
    <t>Risk Management Trading Corp Deal #QL2918.1</t>
  </si>
  <si>
    <t>NGI</t>
  </si>
  <si>
    <t>Southern Cal</t>
  </si>
  <si>
    <t>Border Avg</t>
  </si>
  <si>
    <t xml:space="preserve">Floating </t>
  </si>
  <si>
    <t>NGI Socal -</t>
  </si>
  <si>
    <t>I.F. S.J.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</si>
</sst>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&quot;$&quot;#,##0.00_);[Red]\(&quot;$&quot;#,##0.00\)"/>
    <numFmt numFmtId="177" formatCode="_(&quot;$&quot;* #,##0.00_);_(&quot;$&quot;* \(#,##0.00\);_(&quot;$&quot;* &quot;-&quot;??_);_(@_)"/>
    <numFmt numFmtId="178" formatCode="_(* #,##0.00_);_(* \(#,##0.00\);_(* &quot;-&quot;??_);_(@_)"/>
    <numFmt numFmtId="179" formatCode="_(* #,##0_);_(* \(#,##0\);_(* &quot;-&quot;??_);_(@_)"/>
    <numFmt numFmtId="180" formatCode="_(&quot;$&quot;* #,##0.0000_);_(&quot;$&quot;* \(#,##0.0000\);_(&quot;$&quot;* &quot;-&quot;??_);_(@_)"/>
  </numFmts>
  <fonts count="9" x14ac:knownFonts="1">
    <font>
      <sz val="10"/>
      <name val="Arial"/>
    </font>
    <font>
      <b/>
      <i/>
      <sz val="10"/>
      <name val="Arial"/>
    </font>
    <font>
      <sz val="10"/>
      <name val="Arial"/>
    </font>
    <font>
      <b/>
      <i/>
      <sz val="12"/>
      <name val="Arial"/>
    </font>
    <font>
      <b/>
      <sz val="12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 applyAlignment="1">
      <alignment horizontal="centerContinuous"/>
    </xf>
    <xf numFmtId="0" fontId="4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1" fillId="2" borderId="6" xfId="0" applyFont="1" applyFill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177" fontId="0" fillId="0" borderId="7" xfId="2" applyFont="1" applyBorder="1"/>
    <xf numFmtId="179" fontId="0" fillId="0" borderId="7" xfId="1" applyNumberFormat="1" applyFont="1" applyBorder="1"/>
    <xf numFmtId="177" fontId="0" fillId="0" borderId="4" xfId="2" applyFont="1" applyBorder="1"/>
    <xf numFmtId="0" fontId="0" fillId="0" borderId="3" xfId="0" applyBorder="1"/>
    <xf numFmtId="179" fontId="1" fillId="0" borderId="8" xfId="0" applyNumberFormat="1" applyFont="1" applyBorder="1"/>
    <xf numFmtId="179" fontId="1" fillId="0" borderId="9" xfId="0" applyNumberFormat="1" applyFont="1" applyBorder="1"/>
    <xf numFmtId="0" fontId="0" fillId="0" borderId="10" xfId="0" applyBorder="1"/>
    <xf numFmtId="0" fontId="5" fillId="0" borderId="0" xfId="0" applyFont="1"/>
    <xf numFmtId="17" fontId="0" fillId="0" borderId="7" xfId="0" applyNumberFormat="1" applyBorder="1"/>
    <xf numFmtId="180" fontId="0" fillId="0" borderId="7" xfId="2" applyNumberFormat="1" applyFont="1" applyBorder="1"/>
    <xf numFmtId="180" fontId="0" fillId="0" borderId="7" xfId="0" applyNumberFormat="1" applyBorder="1"/>
    <xf numFmtId="177" fontId="6" fillId="0" borderId="7" xfId="2" applyFont="1" applyBorder="1"/>
    <xf numFmtId="179" fontId="1" fillId="0" borderId="7" xfId="0" applyNumberFormat="1" applyFont="1" applyBorder="1"/>
    <xf numFmtId="0" fontId="0" fillId="0" borderId="4" xfId="0" applyBorder="1"/>
    <xf numFmtId="0" fontId="0" fillId="0" borderId="11" xfId="0" applyBorder="1"/>
    <xf numFmtId="177" fontId="0" fillId="0" borderId="4" xfId="0" applyNumberFormat="1" applyBorder="1"/>
    <xf numFmtId="177" fontId="1" fillId="0" borderId="4" xfId="2" applyFont="1" applyBorder="1"/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177" fontId="1" fillId="0" borderId="7" xfId="2" applyFont="1" applyBorder="1"/>
    <xf numFmtId="0" fontId="1" fillId="2" borderId="13" xfId="0" applyFont="1" applyFill="1" applyBorder="1" applyAlignment="1">
      <alignment horizontal="centerContinuous"/>
    </xf>
    <xf numFmtId="0" fontId="1" fillId="3" borderId="13" xfId="0" applyFont="1" applyFill="1" applyBorder="1" applyAlignment="1">
      <alignment horizontal="centerContinuous"/>
    </xf>
    <xf numFmtId="0" fontId="1" fillId="3" borderId="14" xfId="0" applyFont="1" applyFill="1" applyBorder="1" applyAlignment="1">
      <alignment horizontal="centerContinuous"/>
    </xf>
    <xf numFmtId="0" fontId="1" fillId="2" borderId="6" xfId="0" quotePrefix="1" applyFont="1" applyFill="1" applyBorder="1" applyAlignment="1">
      <alignment horizontal="center"/>
    </xf>
    <xf numFmtId="0" fontId="1" fillId="2" borderId="11" xfId="0" quotePrefix="1" applyFont="1" applyFill="1" applyBorder="1" applyAlignment="1">
      <alignment horizontal="center"/>
    </xf>
    <xf numFmtId="180" fontId="0" fillId="0" borderId="7" xfId="2" applyNumberFormat="1" applyFont="1" applyFill="1" applyBorder="1"/>
    <xf numFmtId="179" fontId="0" fillId="0" borderId="10" xfId="1" applyNumberFormat="1" applyFont="1" applyBorder="1"/>
    <xf numFmtId="177" fontId="0" fillId="0" borderId="10" xfId="2" applyFont="1" applyBorder="1"/>
    <xf numFmtId="179" fontId="0" fillId="0" borderId="9" xfId="1" applyNumberFormat="1" applyFont="1" applyBorder="1"/>
    <xf numFmtId="180" fontId="0" fillId="0" borderId="0" xfId="0" applyNumberFormat="1"/>
    <xf numFmtId="0" fontId="1" fillId="0" borderId="3" xfId="0" applyFont="1" applyBorder="1" applyAlignment="1">
      <alignment horizontal="center"/>
    </xf>
    <xf numFmtId="0" fontId="0" fillId="2" borderId="3" xfId="0" applyFill="1" applyBorder="1"/>
    <xf numFmtId="0" fontId="0" fillId="2" borderId="0" xfId="0" applyFill="1" applyBorder="1"/>
    <xf numFmtId="180" fontId="1" fillId="2" borderId="0" xfId="0" applyNumberFormat="1" applyFont="1" applyFill="1" applyBorder="1" applyAlignment="1">
      <alignment horizontal="center"/>
    </xf>
    <xf numFmtId="0" fontId="1" fillId="2" borderId="0" xfId="0" quotePrefix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76" fontId="7" fillId="2" borderId="6" xfId="0" applyNumberFormat="1" applyFont="1" applyFill="1" applyBorder="1" applyAlignment="1">
      <alignment horizontal="center"/>
    </xf>
    <xf numFmtId="180" fontId="0" fillId="0" borderId="0" xfId="2" applyNumberFormat="1" applyFont="1"/>
    <xf numFmtId="179" fontId="0" fillId="0" borderId="0" xfId="0" applyNumberFormat="1"/>
    <xf numFmtId="0" fontId="7" fillId="2" borderId="6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5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4" fillId="0" borderId="0" xfId="0" applyFont="1" applyAlignment="1">
      <alignment horizontal="center"/>
    </xf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4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8" borderId="0" xfId="0" applyFill="true"/>
    <xf numFmtId="0" fontId="0" fillId="11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3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  <xf numFmtId="0" fontId="0" fillId="17" borderId="0" xfId="0" applyFill="true"/>
    <xf numFmtId="0" fontId="0" fillId="20" borderId="0" xfId="0" applyFill="true"/>
  </cellXfs>
  <cellStyles count="3"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externalLinks/externalLink1.xml" Type="http://schemas.openxmlformats.org/officeDocument/2006/relationships/externalLink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152400</xdr:colOff>
      <xdr:row>57</xdr:row>
      <xdr:rowOff>142875</xdr:rowOff>
    </xdr:to>
    <xdr:sp macro="" textlink="">
      <xdr:nvSpPr>
        <xdr:cNvPr id="922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no"?>
<Relationships xmlns="http://schemas.openxmlformats.org/package/2006/relationships">
<Relationship Id="rId1" Target="file:///C:/Users/Felienne/Enron/EnronSpreadsheets/P&amp;L_Curves/futures_013101.xls" TargetMode="External" Type="http://schemas.openxmlformats.org/officeDocument/2006/relationships/externalLinkPath"/>
</Relationships>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paso SJ &amp; Prm"/>
      <sheetName val="Elpaso"/>
      <sheetName val="PEPL Tx, Ok"/>
      <sheetName val="Demarc"/>
      <sheetName val="NYMEX"/>
      <sheetName val="Henry Hub"/>
      <sheetName val="NGI Socal"/>
      <sheetName val="Aeco"/>
      <sheetName val="Empress"/>
      <sheetName val="Iroquois"/>
      <sheetName val="Dawn"/>
      <sheetName val="Niagara"/>
      <sheetName val="Emerson"/>
      <sheetName val="MEC-EXPIRED"/>
    </sheetNames>
    <sheetDataSet>
      <sheetData sheetId="0">
        <row r="19">
          <cell r="F19">
            <v>5.2050000000000001</v>
          </cell>
        </row>
        <row r="20">
          <cell r="F20">
            <v>5.2549999999999999</v>
          </cell>
        </row>
        <row r="21">
          <cell r="F21">
            <v>5.0649999999999995</v>
          </cell>
        </row>
        <row r="22">
          <cell r="F22">
            <v>4.7649999999999997</v>
          </cell>
        </row>
        <row r="23">
          <cell r="F23">
            <v>4.37</v>
          </cell>
        </row>
        <row r="24">
          <cell r="F24">
            <v>4.24</v>
          </cell>
        </row>
        <row r="25">
          <cell r="F25">
            <v>4.2349999999999994</v>
          </cell>
        </row>
        <row r="26">
          <cell r="F26">
            <v>4.25</v>
          </cell>
        </row>
        <row r="27">
          <cell r="F27">
            <v>4.25</v>
          </cell>
        </row>
        <row r="28">
          <cell r="F28">
            <v>4.25</v>
          </cell>
        </row>
        <row r="29">
          <cell r="F29">
            <v>4.2649999999999997</v>
          </cell>
        </row>
        <row r="30">
          <cell r="F30">
            <v>4.3950000000000005</v>
          </cell>
        </row>
        <row r="31">
          <cell r="F31">
            <v>4.5</v>
          </cell>
        </row>
        <row r="49">
          <cell r="F49">
            <v>6.6050000000000004</v>
          </cell>
        </row>
        <row r="50">
          <cell r="F50">
            <v>5.8319999999999999</v>
          </cell>
        </row>
        <row r="51">
          <cell r="F51">
            <v>5.3</v>
          </cell>
        </row>
        <row r="52">
          <cell r="F52">
            <v>5.16</v>
          </cell>
        </row>
        <row r="53">
          <cell r="F53">
            <v>5.18</v>
          </cell>
        </row>
        <row r="54">
          <cell r="F54">
            <v>5.3699999999999992</v>
          </cell>
        </row>
        <row r="55">
          <cell r="F55">
            <v>5.38</v>
          </cell>
        </row>
        <row r="56">
          <cell r="F56">
            <v>5.35</v>
          </cell>
        </row>
        <row r="57">
          <cell r="F57">
            <v>5.3250000000000002</v>
          </cell>
        </row>
        <row r="58">
          <cell r="F58">
            <v>5.375</v>
          </cell>
        </row>
        <row r="59">
          <cell r="F59">
            <v>5.5100000000000007</v>
          </cell>
        </row>
      </sheetData>
      <sheetData sheetId="1">
        <row r="9">
          <cell r="F9">
            <v>4.4549999999999992</v>
          </cell>
        </row>
      </sheetData>
      <sheetData sheetId="2">
        <row r="12">
          <cell r="E12">
            <v>6.1930000000000005</v>
          </cell>
        </row>
      </sheetData>
      <sheetData sheetId="3">
        <row r="12">
          <cell r="E12">
            <v>6.423</v>
          </cell>
        </row>
      </sheetData>
      <sheetData sheetId="4">
        <row r="8">
          <cell r="C8">
            <v>6.2930000000000001</v>
          </cell>
        </row>
        <row r="19">
          <cell r="C19">
            <v>5.49</v>
          </cell>
        </row>
        <row r="20">
          <cell r="C20">
            <v>5.3</v>
          </cell>
        </row>
        <row r="21">
          <cell r="C21">
            <v>5</v>
          </cell>
        </row>
        <row r="22">
          <cell r="C22">
            <v>4.57</v>
          </cell>
        </row>
        <row r="23">
          <cell r="C23">
            <v>4.4400000000000004</v>
          </cell>
        </row>
        <row r="24">
          <cell r="C24">
            <v>4.4349999999999996</v>
          </cell>
        </row>
        <row r="25">
          <cell r="C25">
            <v>4.45</v>
          </cell>
        </row>
        <row r="26">
          <cell r="C26">
            <v>4.45</v>
          </cell>
        </row>
        <row r="27">
          <cell r="C27">
            <v>4.45</v>
          </cell>
        </row>
        <row r="28">
          <cell r="C28">
            <v>4.4649999999999999</v>
          </cell>
        </row>
        <row r="29">
          <cell r="C29">
            <v>4.57</v>
          </cell>
        </row>
        <row r="30">
          <cell r="C30">
            <v>4.6749999999999998</v>
          </cell>
        </row>
      </sheetData>
      <sheetData sheetId="5">
        <row r="12">
          <cell r="E12">
            <v>6.2930000000000001</v>
          </cell>
        </row>
      </sheetData>
      <sheetData sheetId="6">
        <row r="9">
          <cell r="E9">
            <v>7.6800000000000006</v>
          </cell>
        </row>
        <row r="10">
          <cell r="E10">
            <v>7.7200000000000006</v>
          </cell>
        </row>
        <row r="11">
          <cell r="E11">
            <v>7.43</v>
          </cell>
        </row>
        <row r="12">
          <cell r="E12">
            <v>6.6800000000000006</v>
          </cell>
        </row>
        <row r="13">
          <cell r="E13">
            <v>6.1</v>
          </cell>
        </row>
        <row r="14">
          <cell r="E14">
            <v>5.97</v>
          </cell>
        </row>
        <row r="15">
          <cell r="E15">
            <v>5.964999999999999</v>
          </cell>
        </row>
        <row r="16">
          <cell r="E16">
            <v>6.7249999999999996</v>
          </cell>
        </row>
        <row r="17">
          <cell r="E17">
            <v>6.7249999999999996</v>
          </cell>
        </row>
        <row r="18">
          <cell r="E18">
            <v>6.7249999999999996</v>
          </cell>
        </row>
        <row r="19">
          <cell r="E19">
            <v>6.1099999999999994</v>
          </cell>
        </row>
        <row r="20">
          <cell r="E20">
            <v>5.93</v>
          </cell>
        </row>
        <row r="21">
          <cell r="E21">
            <v>6.0349999999999993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workbookViewId="0">
      <pane xSplit="11655" topLeftCell="J1"/>
      <selection activeCell="I29" sqref="I29"/>
      <selection pane="topRight" activeCell="J24" sqref="J24"/>
    </sheetView>
  </sheetViews>
  <sheetFormatPr defaultRowHeight="12.75" x14ac:dyDescent="0.2"/>
  <cols>
    <col min="1" max="2" customWidth="true" width="10.7109375" collapsed="true"/>
    <col min="3" max="3" customWidth="true" width="13.7109375" collapsed="true"/>
    <col min="4" max="4" customWidth="true" width="10.7109375" collapsed="true"/>
    <col min="5" max="5" customWidth="true" hidden="true" width="0.0" collapsed="true"/>
    <col min="6" max="6" customWidth="true" width="12.7109375" collapsed="true"/>
    <col min="7" max="7" customWidth="true" width="14.28515625" collapsed="true"/>
    <col min="8" max="8" bestFit="true" customWidth="true" width="14.5703125" collapsed="true"/>
    <col min="9" max="9" customWidth="true" width="15.0" collapsed="true"/>
    <col min="10" max="10" bestFit="true" customWidth="true" width="14.42578125" collapsed="true"/>
    <col min="11" max="11" customWidth="true" width="15.0" collapsed="true"/>
  </cols>
  <sheetData>
    <row r="1" spans="1:11" s="2" customFormat="1" ht="15" x14ac:dyDescent="0.2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15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4" customFormat="1" ht="15.75" x14ac:dyDescent="0.25">
      <c r="A3" s="1" t="s">
        <v>23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4" customFormat="1" ht="15.75" x14ac:dyDescent="0.25">
      <c r="A4" s="3"/>
      <c r="B4" s="3"/>
      <c r="C4" s="3"/>
      <c r="D4" s="3"/>
      <c r="E4" s="3"/>
      <c r="F4" s="3"/>
      <c r="G4" s="3"/>
      <c r="H4" s="3"/>
      <c r="I4" s="3"/>
    </row>
    <row r="6" spans="1:11" s="7" customFormat="1" x14ac:dyDescent="0.2">
      <c r="A6" s="5" t="s">
        <v>15</v>
      </c>
      <c r="B6" s="6" t="s">
        <v>1</v>
      </c>
      <c r="C6" s="6" t="s">
        <v>1</v>
      </c>
      <c r="D6" s="6" t="s">
        <v>22</v>
      </c>
      <c r="E6" s="6"/>
      <c r="F6" s="6" t="s">
        <v>2</v>
      </c>
      <c r="G6" s="6" t="s">
        <v>17</v>
      </c>
      <c r="H6" s="6" t="s">
        <v>10</v>
      </c>
      <c r="I6" s="37" t="s">
        <v>18</v>
      </c>
      <c r="J6" s="38"/>
      <c r="K6" s="39"/>
    </row>
    <row r="7" spans="1:11" s="7" customFormat="1" x14ac:dyDescent="0.2">
      <c r="A7" s="8" t="s">
        <v>19</v>
      </c>
      <c r="B7" s="9" t="s">
        <v>4</v>
      </c>
      <c r="C7" s="9" t="s">
        <v>3</v>
      </c>
      <c r="D7" s="9" t="s">
        <v>16</v>
      </c>
      <c r="E7" s="9"/>
      <c r="F7" s="9" t="s">
        <v>20</v>
      </c>
      <c r="G7" s="9" t="s">
        <v>5</v>
      </c>
      <c r="H7" s="9" t="s">
        <v>33</v>
      </c>
      <c r="I7" s="9" t="s">
        <v>6</v>
      </c>
      <c r="J7" s="9" t="s">
        <v>7</v>
      </c>
      <c r="K7" s="10" t="s">
        <v>8</v>
      </c>
    </row>
    <row r="8" spans="1:11" x14ac:dyDescent="0.2">
      <c r="A8" s="11"/>
      <c r="B8" s="12"/>
      <c r="C8" s="12"/>
      <c r="D8" s="56" t="s">
        <v>5</v>
      </c>
      <c r="E8" s="12"/>
      <c r="F8" s="12"/>
      <c r="G8" s="35" t="s">
        <v>21</v>
      </c>
      <c r="H8" s="13" t="s">
        <v>5</v>
      </c>
      <c r="I8" s="40" t="s">
        <v>9</v>
      </c>
      <c r="J8" s="40" t="s">
        <v>9</v>
      </c>
      <c r="K8" s="41" t="s">
        <v>9</v>
      </c>
    </row>
    <row r="9" spans="1:11" x14ac:dyDescent="0.2">
      <c r="A9" s="24">
        <v>36892</v>
      </c>
      <c r="B9" s="14"/>
      <c r="C9" s="15" t="s">
        <v>22</v>
      </c>
      <c r="D9" s="25">
        <v>3.23</v>
      </c>
      <c r="E9" s="14"/>
      <c r="F9" s="17">
        <f>-5000*31</f>
        <v>-155000</v>
      </c>
      <c r="G9" s="25"/>
      <c r="H9" s="25">
        <v>9.81</v>
      </c>
      <c r="I9" s="95">
        <f t="shared" ref="I9:I20" si="0">SUM(D9-H9)*F9</f>
        <v>1019900</v>
      </c>
      <c r="J9" s="31">
        <f>+I9</f>
        <v>1019900</v>
      </c>
      <c r="K9" s="31"/>
    </row>
    <row r="10" spans="1:11" x14ac:dyDescent="0.2">
      <c r="A10" s="24">
        <v>36923</v>
      </c>
      <c r="B10" s="14"/>
      <c r="C10" s="15" t="s">
        <v>22</v>
      </c>
      <c r="D10" s="25">
        <v>3.23</v>
      </c>
      <c r="E10" s="14"/>
      <c r="F10" s="17">
        <f>-5000*28</f>
        <v>-140000</v>
      </c>
      <c r="G10" s="25"/>
      <c r="H10" s="25">
        <f>+'[1]ELpaso SJ &amp; Prm'!$F49</f>
        <v>6.6050000000000004</v>
      </c>
      <c r="I10" s="95">
        <f t="shared" si="0"/>
        <v>472500.00000000006</v>
      </c>
      <c r="J10" s="31"/>
      <c r="K10" s="97">
        <f t="shared" ref="K10:K20" si="1">+I10</f>
        <v>472500.00000000006</v>
      </c>
    </row>
    <row r="11" spans="1:11" x14ac:dyDescent="0.2">
      <c r="A11" s="24">
        <v>36951</v>
      </c>
      <c r="B11" s="14"/>
      <c r="C11" s="15" t="s">
        <v>22</v>
      </c>
      <c r="D11" s="25">
        <v>3.23</v>
      </c>
      <c r="E11" s="14"/>
      <c r="F11" s="17">
        <f>-5000*31</f>
        <v>-155000</v>
      </c>
      <c r="G11" s="25"/>
      <c r="H11" s="25">
        <f>+'[1]ELpaso SJ &amp; Prm'!$F50</f>
        <v>5.8319999999999999</v>
      </c>
      <c r="I11" s="95">
        <f t="shared" si="0"/>
        <v>403310</v>
      </c>
      <c r="J11" s="31"/>
      <c r="K11" s="97">
        <f t="shared" si="1"/>
        <v>403310</v>
      </c>
    </row>
    <row r="12" spans="1:11" x14ac:dyDescent="0.2">
      <c r="A12" s="24">
        <v>36982</v>
      </c>
      <c r="B12" s="14"/>
      <c r="C12" s="15" t="s">
        <v>22</v>
      </c>
      <c r="D12" s="25">
        <v>3.23</v>
      </c>
      <c r="E12" s="14"/>
      <c r="F12" s="17">
        <f>-5000*30</f>
        <v>-150000</v>
      </c>
      <c r="G12" s="25"/>
      <c r="H12" s="25">
        <f>+'[1]ELpaso SJ &amp; Prm'!$F51</f>
        <v>5.3</v>
      </c>
      <c r="I12" s="95">
        <f t="shared" si="0"/>
        <v>310500</v>
      </c>
      <c r="J12" s="31"/>
      <c r="K12" s="97">
        <f t="shared" si="1"/>
        <v>310500</v>
      </c>
    </row>
    <row r="13" spans="1:11" x14ac:dyDescent="0.2">
      <c r="A13" s="24">
        <v>37012</v>
      </c>
      <c r="B13" s="14"/>
      <c r="C13" s="15" t="s">
        <v>22</v>
      </c>
      <c r="D13" s="25">
        <v>3.23</v>
      </c>
      <c r="E13" s="14"/>
      <c r="F13" s="17">
        <f>-5000*31</f>
        <v>-155000</v>
      </c>
      <c r="G13" s="14"/>
      <c r="H13" s="25">
        <f>+'[1]ELpaso SJ &amp; Prm'!$F52</f>
        <v>5.16</v>
      </c>
      <c r="I13" s="95">
        <f t="shared" si="0"/>
        <v>299150</v>
      </c>
      <c r="J13" s="29"/>
      <c r="K13" s="97">
        <f t="shared" si="1"/>
        <v>299150</v>
      </c>
    </row>
    <row r="14" spans="1:11" x14ac:dyDescent="0.2">
      <c r="A14" s="24">
        <v>37043</v>
      </c>
      <c r="B14" s="14"/>
      <c r="C14" s="15" t="s">
        <v>22</v>
      </c>
      <c r="D14" s="25">
        <v>3.23</v>
      </c>
      <c r="E14" s="14"/>
      <c r="F14" s="17">
        <f>-5000*30</f>
        <v>-150000</v>
      </c>
      <c r="G14" s="14"/>
      <c r="H14" s="25">
        <f>+'[1]ELpaso SJ &amp; Prm'!$F53</f>
        <v>5.18</v>
      </c>
      <c r="I14" s="95">
        <f t="shared" si="0"/>
        <v>292499.99999999994</v>
      </c>
      <c r="J14" s="29"/>
      <c r="K14" s="97">
        <f t="shared" si="1"/>
        <v>292499.99999999994</v>
      </c>
    </row>
    <row r="15" spans="1:11" x14ac:dyDescent="0.2">
      <c r="A15" s="24">
        <v>37073</v>
      </c>
      <c r="B15" s="14"/>
      <c r="C15" s="15" t="s">
        <v>22</v>
      </c>
      <c r="D15" s="25">
        <v>3.23</v>
      </c>
      <c r="E15" s="14"/>
      <c r="F15" s="17">
        <f>-5000*31</f>
        <v>-155000</v>
      </c>
      <c r="G15" s="14"/>
      <c r="H15" s="25">
        <f>+'[1]ELpaso SJ &amp; Prm'!$F54</f>
        <v>5.3699999999999992</v>
      </c>
      <c r="I15" s="95">
        <f t="shared" si="0"/>
        <v>331699.99999999988</v>
      </c>
      <c r="J15" s="29"/>
      <c r="K15" s="97">
        <f t="shared" si="1"/>
        <v>331699.99999999988</v>
      </c>
    </row>
    <row r="16" spans="1:11" x14ac:dyDescent="0.2">
      <c r="A16" s="24">
        <v>37104</v>
      </c>
      <c r="B16" s="14"/>
      <c r="C16" s="15" t="s">
        <v>22</v>
      </c>
      <c r="D16" s="25">
        <v>3.23</v>
      </c>
      <c r="E16" s="14"/>
      <c r="F16" s="17">
        <f>-5000*31</f>
        <v>-155000</v>
      </c>
      <c r="G16" s="14"/>
      <c r="H16" s="25">
        <f>+'[1]ELpaso SJ &amp; Prm'!$F55</f>
        <v>5.38</v>
      </c>
      <c r="I16" s="95">
        <f t="shared" si="0"/>
        <v>333250</v>
      </c>
      <c r="J16" s="29"/>
      <c r="K16" s="97">
        <f t="shared" si="1"/>
        <v>333250</v>
      </c>
    </row>
    <row r="17" spans="1:11" x14ac:dyDescent="0.2">
      <c r="A17" s="24">
        <v>37135</v>
      </c>
      <c r="B17" s="14"/>
      <c r="C17" s="15" t="s">
        <v>22</v>
      </c>
      <c r="D17" s="25">
        <v>3.23</v>
      </c>
      <c r="E17" s="14"/>
      <c r="F17" s="17">
        <f>-5000*30</f>
        <v>-150000</v>
      </c>
      <c r="G17" s="14"/>
      <c r="H17" s="25">
        <f>+'[1]ELpaso SJ &amp; Prm'!$F56</f>
        <v>5.35</v>
      </c>
      <c r="I17" s="95">
        <f t="shared" si="0"/>
        <v>317999.99999999994</v>
      </c>
      <c r="J17" s="29"/>
      <c r="K17" s="97">
        <f t="shared" si="1"/>
        <v>317999.99999999994</v>
      </c>
    </row>
    <row r="18" spans="1:11" x14ac:dyDescent="0.2">
      <c r="A18" s="24">
        <v>37165</v>
      </c>
      <c r="B18" s="14"/>
      <c r="C18" s="15" t="s">
        <v>22</v>
      </c>
      <c r="D18" s="25">
        <v>3.23</v>
      </c>
      <c r="E18" s="14"/>
      <c r="F18" s="17">
        <f>-5000*31</f>
        <v>-155000</v>
      </c>
      <c r="G18" s="14"/>
      <c r="H18" s="25">
        <f>+'[1]ELpaso SJ &amp; Prm'!$F57</f>
        <v>5.3250000000000002</v>
      </c>
      <c r="I18" s="95">
        <f t="shared" si="0"/>
        <v>324725.00000000006</v>
      </c>
      <c r="J18" s="29"/>
      <c r="K18" s="97">
        <f t="shared" si="1"/>
        <v>324725.00000000006</v>
      </c>
    </row>
    <row r="19" spans="1:11" x14ac:dyDescent="0.2">
      <c r="A19" s="24">
        <v>37196</v>
      </c>
      <c r="B19" s="14"/>
      <c r="C19" s="15" t="s">
        <v>22</v>
      </c>
      <c r="D19" s="25">
        <v>3.23</v>
      </c>
      <c r="E19" s="14"/>
      <c r="F19" s="17">
        <f>-5000*30</f>
        <v>-150000</v>
      </c>
      <c r="G19" s="14"/>
      <c r="H19" s="25">
        <f>+'[1]ELpaso SJ &amp; Prm'!$F58</f>
        <v>5.375</v>
      </c>
      <c r="I19" s="95">
        <f t="shared" si="0"/>
        <v>321750</v>
      </c>
      <c r="J19" s="29"/>
      <c r="K19" s="97">
        <f t="shared" si="1"/>
        <v>321750</v>
      </c>
    </row>
    <row r="20" spans="1:11" x14ac:dyDescent="0.2">
      <c r="A20" s="24">
        <v>37226</v>
      </c>
      <c r="B20" s="14"/>
      <c r="C20" s="15" t="s">
        <v>22</v>
      </c>
      <c r="D20" s="25">
        <v>3.23</v>
      </c>
      <c r="E20" s="14"/>
      <c r="F20" s="17">
        <f>-5000*31</f>
        <v>-155000</v>
      </c>
      <c r="G20" s="14"/>
      <c r="H20" s="25">
        <f>+'[1]ELpaso SJ &amp; Prm'!$F59</f>
        <v>5.5100000000000007</v>
      </c>
      <c r="I20" s="95">
        <f t="shared" si="0"/>
        <v>353400.00000000012</v>
      </c>
      <c r="J20" s="29"/>
      <c r="K20" s="97">
        <f t="shared" si="1"/>
        <v>353400.00000000012</v>
      </c>
    </row>
    <row r="21" spans="1:11" x14ac:dyDescent="0.2">
      <c r="A21" s="24"/>
      <c r="B21" s="14"/>
      <c r="C21" s="15"/>
      <c r="D21" s="25"/>
      <c r="E21" s="14"/>
      <c r="F21" s="17"/>
      <c r="G21" s="14"/>
      <c r="H21" s="25"/>
      <c r="I21" s="16"/>
      <c r="J21" s="29"/>
      <c r="K21" s="31"/>
    </row>
    <row r="22" spans="1:11" x14ac:dyDescent="0.2">
      <c r="A22" s="14"/>
      <c r="B22" s="14"/>
      <c r="C22" s="14"/>
      <c r="D22" s="14"/>
      <c r="E22" s="14"/>
      <c r="F22" s="20">
        <f>SUM(F9:F20)</f>
        <v>-1825000</v>
      </c>
      <c r="G22" s="14"/>
      <c r="H22" s="14"/>
      <c r="I22" s="99">
        <f>SUM(I9:I20)</f>
        <v>4780685</v>
      </c>
      <c r="J22" s="99">
        <f>SUM(J9:J20)</f>
        <v>1019900</v>
      </c>
      <c r="K22" s="99">
        <f>SUM(K9:K20)</f>
        <v>3760785</v>
      </c>
    </row>
    <row r="23" spans="1:11" x14ac:dyDescent="0.2">
      <c r="A23" s="14"/>
      <c r="B23" s="14"/>
      <c r="C23" s="14"/>
      <c r="D23" s="14"/>
      <c r="E23" s="14"/>
      <c r="F23" s="28"/>
      <c r="G23" s="14"/>
      <c r="H23" s="14"/>
      <c r="I23" s="36"/>
      <c r="J23" s="32"/>
      <c r="K23" s="32"/>
    </row>
    <row r="24" spans="1:11" x14ac:dyDescent="0.2">
      <c r="A24" s="14"/>
      <c r="B24" s="14"/>
      <c r="C24" s="14"/>
      <c r="D24" s="14"/>
      <c r="E24" s="14"/>
      <c r="F24" s="14"/>
      <c r="G24" s="34" t="s">
        <v>21</v>
      </c>
      <c r="H24" s="26"/>
      <c r="I24" s="14"/>
      <c r="J24" s="29"/>
      <c r="K24" s="29"/>
    </row>
    <row r="25" spans="1:11" x14ac:dyDescent="0.2">
      <c r="A25" s="14"/>
      <c r="B25" s="14"/>
      <c r="C25" s="14"/>
      <c r="D25" s="25"/>
      <c r="E25" s="14"/>
      <c r="F25" s="14"/>
      <c r="G25" s="33"/>
      <c r="H25" s="26"/>
      <c r="I25" s="14"/>
      <c r="J25" s="29"/>
      <c r="K25" s="29"/>
    </row>
    <row r="26" spans="1:11" x14ac:dyDescent="0.2">
      <c r="A26" s="24">
        <v>36892</v>
      </c>
      <c r="B26" s="14"/>
      <c r="C26" s="15" t="s">
        <v>12</v>
      </c>
      <c r="D26" s="25">
        <v>3.23</v>
      </c>
      <c r="E26" s="14"/>
      <c r="F26" s="17">
        <f>5000*31</f>
        <v>155000</v>
      </c>
      <c r="G26" s="25"/>
      <c r="H26" s="25">
        <v>9.81</v>
      </c>
      <c r="I26" s="101">
        <f>(+D26-H26)*F26</f>
        <v>-1019900</v>
      </c>
      <c r="J26" s="31">
        <f>+I26</f>
        <v>-1019900</v>
      </c>
      <c r="K26" s="31"/>
    </row>
    <row r="27" spans="1:11" x14ac:dyDescent="0.2">
      <c r="A27" s="24">
        <v>36923</v>
      </c>
      <c r="B27" s="14"/>
      <c r="C27" s="15" t="s">
        <v>12</v>
      </c>
      <c r="D27" s="25">
        <v>3.23</v>
      </c>
      <c r="E27" s="14"/>
      <c r="F27" s="17">
        <f>5000*28</f>
        <v>140000</v>
      </c>
      <c r="G27" s="42"/>
      <c r="H27" s="25">
        <f>+'[1]ELpaso SJ &amp; Prm'!$F49</f>
        <v>6.6050000000000004</v>
      </c>
      <c r="I27" s="101">
        <f t="shared" ref="I27:I37" si="2">(+D27-H27)*F27</f>
        <v>-472500.00000000006</v>
      </c>
      <c r="J27" s="31"/>
      <c r="K27" s="103">
        <f t="shared" ref="K27:K37" si="3">+I27</f>
        <v>-472500.00000000006</v>
      </c>
    </row>
    <row r="28" spans="1:11" x14ac:dyDescent="0.2">
      <c r="A28" s="24">
        <v>36951</v>
      </c>
      <c r="B28" s="14"/>
      <c r="C28" s="15" t="s">
        <v>12</v>
      </c>
      <c r="D28" s="25">
        <v>3.23</v>
      </c>
      <c r="E28" s="14"/>
      <c r="F28" s="17">
        <f>5000*31</f>
        <v>155000</v>
      </c>
      <c r="G28" s="42"/>
      <c r="H28" s="25">
        <f>+'[1]ELpaso SJ &amp; Prm'!$F50</f>
        <v>5.8319999999999999</v>
      </c>
      <c r="I28" s="101">
        <f t="shared" si="2"/>
        <v>-403310</v>
      </c>
      <c r="J28" s="31"/>
      <c r="K28" s="103">
        <f t="shared" si="3"/>
        <v>-403310</v>
      </c>
    </row>
    <row r="29" spans="1:11" x14ac:dyDescent="0.2">
      <c r="A29" s="24">
        <v>36982</v>
      </c>
      <c r="B29" s="14"/>
      <c r="C29" s="15" t="s">
        <v>12</v>
      </c>
      <c r="D29" s="25">
        <v>3.23</v>
      </c>
      <c r="E29" s="14"/>
      <c r="F29" s="17">
        <f>5000*30</f>
        <v>150000</v>
      </c>
      <c r="G29" s="42"/>
      <c r="H29" s="25">
        <f>+'[1]ELpaso SJ &amp; Prm'!$F51</f>
        <v>5.3</v>
      </c>
      <c r="I29" s="101">
        <f t="shared" si="2"/>
        <v>-310500</v>
      </c>
      <c r="J29" s="31"/>
      <c r="K29" s="103">
        <f t="shared" si="3"/>
        <v>-310500</v>
      </c>
    </row>
    <row r="30" spans="1:11" x14ac:dyDescent="0.2">
      <c r="A30" s="24">
        <v>37012</v>
      </c>
      <c r="B30" s="14"/>
      <c r="C30" s="15" t="s">
        <v>12</v>
      </c>
      <c r="D30" s="25">
        <v>3.23</v>
      </c>
      <c r="E30" s="14"/>
      <c r="F30" s="17">
        <f>5000*31</f>
        <v>155000</v>
      </c>
      <c r="G30" s="14"/>
      <c r="H30" s="25">
        <f>+'[1]ELpaso SJ &amp; Prm'!$F52</f>
        <v>5.16</v>
      </c>
      <c r="I30" s="101">
        <f t="shared" si="2"/>
        <v>-299150</v>
      </c>
      <c r="J30" s="29"/>
      <c r="K30" s="103">
        <f t="shared" si="3"/>
        <v>-299150</v>
      </c>
    </row>
    <row r="31" spans="1:11" x14ac:dyDescent="0.2">
      <c r="A31" s="24">
        <v>37043</v>
      </c>
      <c r="B31" s="14"/>
      <c r="C31" s="15" t="s">
        <v>12</v>
      </c>
      <c r="D31" s="25">
        <v>3.23</v>
      </c>
      <c r="E31" s="14"/>
      <c r="F31" s="17">
        <f>5000*30</f>
        <v>150000</v>
      </c>
      <c r="G31" s="14"/>
      <c r="H31" s="25">
        <f>+'[1]ELpaso SJ &amp; Prm'!$F53</f>
        <v>5.18</v>
      </c>
      <c r="I31" s="101">
        <f t="shared" si="2"/>
        <v>-292499.99999999994</v>
      </c>
      <c r="J31" s="29"/>
      <c r="K31" s="103">
        <f t="shared" si="3"/>
        <v>-292499.99999999994</v>
      </c>
    </row>
    <row r="32" spans="1:11" x14ac:dyDescent="0.2">
      <c r="A32" s="24">
        <v>37073</v>
      </c>
      <c r="B32" s="14"/>
      <c r="C32" s="15" t="s">
        <v>12</v>
      </c>
      <c r="D32" s="25">
        <v>3.23</v>
      </c>
      <c r="E32" s="14"/>
      <c r="F32" s="17">
        <f>5000*31</f>
        <v>155000</v>
      </c>
      <c r="G32" s="14"/>
      <c r="H32" s="25">
        <f>+'[1]ELpaso SJ &amp; Prm'!$F54</f>
        <v>5.3699999999999992</v>
      </c>
      <c r="I32" s="101">
        <f t="shared" si="2"/>
        <v>-331699.99999999988</v>
      </c>
      <c r="J32" s="29"/>
      <c r="K32" s="103">
        <f t="shared" si="3"/>
        <v>-331699.99999999988</v>
      </c>
    </row>
    <row r="33" spans="1:11" x14ac:dyDescent="0.2">
      <c r="A33" s="24">
        <v>37104</v>
      </c>
      <c r="B33" s="14"/>
      <c r="C33" s="15" t="s">
        <v>12</v>
      </c>
      <c r="D33" s="25">
        <v>3.23</v>
      </c>
      <c r="E33" s="14"/>
      <c r="F33" s="17">
        <f>5000*31</f>
        <v>155000</v>
      </c>
      <c r="G33" s="14"/>
      <c r="H33" s="25">
        <f>+'[1]ELpaso SJ &amp; Prm'!$F55</f>
        <v>5.38</v>
      </c>
      <c r="I33" s="101">
        <f t="shared" si="2"/>
        <v>-333250</v>
      </c>
      <c r="J33" s="29"/>
      <c r="K33" s="103">
        <f t="shared" si="3"/>
        <v>-333250</v>
      </c>
    </row>
    <row r="34" spans="1:11" x14ac:dyDescent="0.2">
      <c r="A34" s="24">
        <v>37135</v>
      </c>
      <c r="B34" s="14"/>
      <c r="C34" s="15" t="s">
        <v>12</v>
      </c>
      <c r="D34" s="25">
        <v>3.23</v>
      </c>
      <c r="E34" s="14"/>
      <c r="F34" s="17">
        <f>5000*30</f>
        <v>150000</v>
      </c>
      <c r="G34" s="14"/>
      <c r="H34" s="25">
        <f>+'[1]ELpaso SJ &amp; Prm'!$F56</f>
        <v>5.35</v>
      </c>
      <c r="I34" s="101">
        <f t="shared" si="2"/>
        <v>-317999.99999999994</v>
      </c>
      <c r="J34" s="29"/>
      <c r="K34" s="103">
        <f t="shared" si="3"/>
        <v>-317999.99999999994</v>
      </c>
    </row>
    <row r="35" spans="1:11" x14ac:dyDescent="0.2">
      <c r="A35" s="24">
        <v>37165</v>
      </c>
      <c r="B35" s="14"/>
      <c r="C35" s="15" t="s">
        <v>12</v>
      </c>
      <c r="D35" s="25">
        <v>3.23</v>
      </c>
      <c r="E35" s="14"/>
      <c r="F35" s="17">
        <f>5000*31</f>
        <v>155000</v>
      </c>
      <c r="G35" s="14"/>
      <c r="H35" s="25">
        <f>+'[1]ELpaso SJ &amp; Prm'!$F57</f>
        <v>5.3250000000000002</v>
      </c>
      <c r="I35" s="101">
        <f t="shared" si="2"/>
        <v>-324725.00000000006</v>
      </c>
      <c r="J35" s="29"/>
      <c r="K35" s="103">
        <f t="shared" si="3"/>
        <v>-324725.00000000006</v>
      </c>
    </row>
    <row r="36" spans="1:11" x14ac:dyDescent="0.2">
      <c r="A36" s="24">
        <v>37196</v>
      </c>
      <c r="B36" s="14"/>
      <c r="C36" s="15" t="s">
        <v>12</v>
      </c>
      <c r="D36" s="25">
        <v>3.23</v>
      </c>
      <c r="E36" s="14"/>
      <c r="F36" s="17">
        <f>5000*30</f>
        <v>150000</v>
      </c>
      <c r="G36" s="14"/>
      <c r="H36" s="25">
        <f>+'[1]ELpaso SJ &amp; Prm'!$F58</f>
        <v>5.375</v>
      </c>
      <c r="I36" s="101">
        <f t="shared" si="2"/>
        <v>-321750</v>
      </c>
      <c r="J36" s="29"/>
      <c r="K36" s="103">
        <f t="shared" si="3"/>
        <v>-321750</v>
      </c>
    </row>
    <row r="37" spans="1:11" x14ac:dyDescent="0.2">
      <c r="A37" s="24">
        <v>37226</v>
      </c>
      <c r="B37" s="14"/>
      <c r="C37" s="15" t="s">
        <v>12</v>
      </c>
      <c r="D37" s="25">
        <v>3.23</v>
      </c>
      <c r="E37" s="14"/>
      <c r="F37" s="17">
        <f>5000*31</f>
        <v>155000</v>
      </c>
      <c r="G37" s="14"/>
      <c r="H37" s="25">
        <f>+'[1]ELpaso SJ &amp; Prm'!$F59</f>
        <v>5.5100000000000007</v>
      </c>
      <c r="I37" s="101">
        <f t="shared" si="2"/>
        <v>-353400.00000000012</v>
      </c>
      <c r="J37" s="29"/>
      <c r="K37" s="103">
        <f t="shared" si="3"/>
        <v>-353400.00000000012</v>
      </c>
    </row>
    <row r="38" spans="1:11" x14ac:dyDescent="0.2">
      <c r="A38" s="24"/>
      <c r="B38" s="14"/>
      <c r="C38" s="15"/>
      <c r="D38" s="25"/>
      <c r="E38" s="14"/>
      <c r="F38" s="17"/>
      <c r="G38" s="14"/>
      <c r="H38" s="25"/>
      <c r="I38" s="27"/>
      <c r="J38" s="29"/>
      <c r="K38" s="31"/>
    </row>
    <row r="39" spans="1:11" x14ac:dyDescent="0.2">
      <c r="A39" s="14"/>
      <c r="B39" s="14"/>
      <c r="C39" s="14"/>
      <c r="D39" s="14"/>
      <c r="E39" s="14"/>
      <c r="F39" s="20">
        <f>SUM(F26:F38)</f>
        <v>1825000</v>
      </c>
      <c r="G39" s="14"/>
      <c r="H39" s="14"/>
      <c r="I39" s="105">
        <f>SUM(I26:I38)</f>
        <v>-4780685</v>
      </c>
      <c r="J39" s="105">
        <f>SUM(J26:J38)</f>
        <v>-1019900</v>
      </c>
      <c r="K39" s="105">
        <f>SUM(K26:K38)</f>
        <v>-3760785</v>
      </c>
    </row>
    <row r="40" spans="1:1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29"/>
      <c r="K40" s="29"/>
    </row>
    <row r="41" spans="1:11" ht="13.5" thickBot="1" x14ac:dyDescent="0.25">
      <c r="A41" s="14"/>
      <c r="B41" s="14"/>
      <c r="C41" s="14"/>
      <c r="D41" s="14"/>
      <c r="E41" s="14"/>
      <c r="F41" s="21">
        <f>+F39+F22</f>
        <v>0</v>
      </c>
      <c r="G41" s="14"/>
      <c r="H41" s="14"/>
      <c r="I41" s="107">
        <f>+I39+I22</f>
        <v>0</v>
      </c>
      <c r="J41" s="107">
        <f>+J39+J22</f>
        <v>0</v>
      </c>
      <c r="K41" s="107">
        <f>+K39+K22</f>
        <v>0</v>
      </c>
    </row>
    <row r="42" spans="1:11" ht="13.5" thickTop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30"/>
      <c r="K42" s="30"/>
    </row>
    <row r="44" spans="1:11" x14ac:dyDescent="0.2">
      <c r="A44" s="23" t="s">
        <v>13</v>
      </c>
    </row>
  </sheetData>
  <phoneticPr fontId="8" type="noConversion"/>
  <pageMargins left="0.75" right="0.75" top="1" bottom="1" header="0.5" footer="0.5"/>
  <pageSetup scale="8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B1" workbookViewId="0">
      <selection activeCell="I15" sqref="I15"/>
    </sheetView>
  </sheetViews>
  <sheetFormatPr defaultRowHeight="12.75" x14ac:dyDescent="0.2"/>
  <cols>
    <col min="1" max="2" customWidth="true" width="10.7109375" collapsed="true"/>
    <col min="3" max="3" customWidth="true" width="13.7109375" collapsed="true"/>
    <col min="4" max="4" customWidth="true" width="18.5703125" collapsed="true"/>
    <col min="5" max="5" customWidth="true" hidden="true" width="0.0" collapsed="true"/>
    <col min="6" max="6" customWidth="true" width="12.7109375" collapsed="true"/>
    <col min="7" max="7" customWidth="true" width="13.140625" collapsed="true"/>
    <col min="8" max="8" customWidth="true" width="16.7109375" collapsed="true"/>
    <col min="9" max="9" customWidth="true" width="15.42578125" collapsed="true"/>
    <col min="10" max="10" customWidth="true" width="13.42578125" collapsed="true"/>
    <col min="11" max="11" customWidth="true" width="15.42578125" collapsed="true"/>
  </cols>
  <sheetData>
    <row r="1" spans="1:12" s="2" customFormat="1" ht="15" x14ac:dyDescent="0.2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s="2" customFormat="1" ht="15" x14ac:dyDescent="0.2">
      <c r="A2" s="1" t="s">
        <v>24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 s="4" customFormat="1" ht="15.75" x14ac:dyDescent="0.25">
      <c r="A3" s="1" t="s">
        <v>29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s="4" customFormat="1" ht="15.75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2" x14ac:dyDescent="0.2">
      <c r="G5" s="46"/>
      <c r="H5" s="46"/>
    </row>
    <row r="6" spans="1:12" s="7" customFormat="1" x14ac:dyDescent="0.2">
      <c r="A6" s="8" t="s">
        <v>15</v>
      </c>
      <c r="B6" s="6" t="s">
        <v>1</v>
      </c>
      <c r="C6" s="6" t="s">
        <v>1</v>
      </c>
      <c r="D6" s="6" t="s">
        <v>11</v>
      </c>
      <c r="E6" s="6"/>
      <c r="F6" s="6"/>
      <c r="G6" s="6"/>
      <c r="H6" s="6" t="s">
        <v>10</v>
      </c>
      <c r="I6" s="37" t="s">
        <v>18</v>
      </c>
      <c r="J6" s="38"/>
      <c r="K6" s="39"/>
    </row>
    <row r="7" spans="1:12" s="7" customFormat="1" x14ac:dyDescent="0.2">
      <c r="A7" s="8" t="s">
        <v>19</v>
      </c>
      <c r="B7" s="9" t="s">
        <v>4</v>
      </c>
      <c r="C7" s="9" t="s">
        <v>3</v>
      </c>
      <c r="D7" s="9" t="s">
        <v>25</v>
      </c>
      <c r="E7" s="9"/>
      <c r="F7" s="9"/>
      <c r="G7" s="9"/>
      <c r="H7" s="9" t="s">
        <v>30</v>
      </c>
      <c r="I7" s="9" t="s">
        <v>6</v>
      </c>
      <c r="J7" s="9" t="s">
        <v>7</v>
      </c>
      <c r="K7" s="9" t="s">
        <v>8</v>
      </c>
      <c r="L7" s="47"/>
    </row>
    <row r="8" spans="1:12" x14ac:dyDescent="0.2">
      <c r="A8" s="48"/>
      <c r="B8" s="49"/>
      <c r="C8" s="49"/>
      <c r="D8" s="52" t="s">
        <v>26</v>
      </c>
      <c r="E8" s="49"/>
      <c r="F8" s="49"/>
      <c r="G8" s="50"/>
      <c r="H8" s="9" t="s">
        <v>31</v>
      </c>
      <c r="I8" s="51" t="s">
        <v>9</v>
      </c>
      <c r="J8" s="51" t="s">
        <v>9</v>
      </c>
      <c r="K8" s="51" t="s">
        <v>9</v>
      </c>
      <c r="L8" s="19"/>
    </row>
    <row r="9" spans="1:12" x14ac:dyDescent="0.2">
      <c r="A9" s="11"/>
      <c r="B9" s="12"/>
      <c r="C9" s="12"/>
      <c r="D9" s="53">
        <v>1.05</v>
      </c>
      <c r="E9" s="12"/>
      <c r="F9" s="12"/>
      <c r="G9" s="35"/>
      <c r="H9" s="13" t="s">
        <v>32</v>
      </c>
      <c r="I9" s="40"/>
      <c r="J9" s="40"/>
      <c r="K9" s="40"/>
      <c r="L9" s="19"/>
    </row>
    <row r="10" spans="1:12" x14ac:dyDescent="0.2">
      <c r="A10" s="24">
        <v>37257</v>
      </c>
      <c r="B10" s="14"/>
      <c r="C10" s="15" t="s">
        <v>11</v>
      </c>
      <c r="D10" s="25">
        <f>+[1]NYMEX!$C19+$D$9</f>
        <v>6.54</v>
      </c>
      <c r="E10" s="14"/>
      <c r="F10" s="17">
        <f>27500*31</f>
        <v>852500</v>
      </c>
      <c r="G10" s="25"/>
      <c r="H10" s="25">
        <f>+'[1]NGI Socal'!$E10</f>
        <v>7.7200000000000006</v>
      </c>
      <c r="I10" s="111">
        <f>(-D10+H10)*F10</f>
        <v>1005950.0000000005</v>
      </c>
      <c r="J10" s="31"/>
      <c r="K10" s="113">
        <f>+I10</f>
        <v>1005950.0000000005</v>
      </c>
    </row>
    <row r="11" spans="1:12" x14ac:dyDescent="0.2">
      <c r="A11" s="24">
        <v>37288</v>
      </c>
      <c r="B11" s="14"/>
      <c r="C11" s="15" t="s">
        <v>11</v>
      </c>
      <c r="D11" s="25">
        <f>+[1]NYMEX!$C20+$D$9</f>
        <v>6.35</v>
      </c>
      <c r="E11" s="14"/>
      <c r="F11" s="17">
        <f>27500*28</f>
        <v>770000</v>
      </c>
      <c r="G11" s="25"/>
      <c r="H11" s="25">
        <f>+'[1]NGI Socal'!$E11</f>
        <v>7.43</v>
      </c>
      <c r="I11" s="111">
        <f>+F11*(+H11-D11)</f>
        <v>831600</v>
      </c>
      <c r="J11" s="31"/>
      <c r="K11" s="113">
        <f t="shared" ref="K11:K21" si="0">+I11</f>
        <v>831600</v>
      </c>
    </row>
    <row r="12" spans="1:12" x14ac:dyDescent="0.2">
      <c r="A12" s="24">
        <v>37316</v>
      </c>
      <c r="B12" s="14"/>
      <c r="C12" s="15" t="s">
        <v>11</v>
      </c>
      <c r="D12" s="25">
        <f>+[1]NYMEX!$C21+$D$9</f>
        <v>6.05</v>
      </c>
      <c r="E12" s="14"/>
      <c r="F12" s="17">
        <f>27500*31</f>
        <v>852500</v>
      </c>
      <c r="G12" s="14"/>
      <c r="H12" s="25">
        <f>+'[1]NGI Socal'!$E12</f>
        <v>6.6800000000000006</v>
      </c>
      <c r="I12" s="111">
        <f t="shared" ref="I12:I21" si="1">+F12*(+H12-D12)</f>
        <v>537075.0000000007</v>
      </c>
      <c r="J12" s="19"/>
      <c r="K12" s="113">
        <f t="shared" si="0"/>
        <v>537075.0000000007</v>
      </c>
      <c r="L12" s="19"/>
    </row>
    <row r="13" spans="1:12" x14ac:dyDescent="0.2">
      <c r="A13" s="24">
        <v>37347</v>
      </c>
      <c r="B13" s="14"/>
      <c r="C13" s="15" t="s">
        <v>11</v>
      </c>
      <c r="D13" s="25">
        <f>+[1]NYMEX!$C22+$D$9</f>
        <v>5.62</v>
      </c>
      <c r="E13" s="14"/>
      <c r="F13" s="17">
        <f>27500*30</f>
        <v>825000</v>
      </c>
      <c r="G13" s="14"/>
      <c r="H13" s="25">
        <f>+'[1]NGI Socal'!$E13</f>
        <v>6.1</v>
      </c>
      <c r="I13" s="111">
        <f t="shared" si="1"/>
        <v>395999.99999999959</v>
      </c>
      <c r="J13" s="14"/>
      <c r="K13" s="113">
        <f t="shared" si="0"/>
        <v>395999.99999999959</v>
      </c>
    </row>
    <row r="14" spans="1:12" x14ac:dyDescent="0.2">
      <c r="A14" s="24">
        <v>37377</v>
      </c>
      <c r="B14" s="14"/>
      <c r="C14" s="15" t="s">
        <v>11</v>
      </c>
      <c r="D14" s="25">
        <f>+[1]NYMEX!$C23+$D$9</f>
        <v>5.49</v>
      </c>
      <c r="E14" s="14"/>
      <c r="F14" s="17">
        <f>27500*31</f>
        <v>852500</v>
      </c>
      <c r="G14" s="14"/>
      <c r="H14" s="25">
        <f>+'[1]NGI Socal'!$E14</f>
        <v>5.97</v>
      </c>
      <c r="I14" s="111">
        <f t="shared" si="1"/>
        <v>409199.99999999959</v>
      </c>
      <c r="J14" s="14"/>
      <c r="K14" s="113">
        <f t="shared" si="0"/>
        <v>409199.99999999959</v>
      </c>
    </row>
    <row r="15" spans="1:12" x14ac:dyDescent="0.2">
      <c r="A15" s="24">
        <v>37408</v>
      </c>
      <c r="B15" s="14"/>
      <c r="C15" s="15" t="s">
        <v>11</v>
      </c>
      <c r="D15" s="25">
        <f>+[1]NYMEX!$C24+$D$9</f>
        <v>5.4849999999999994</v>
      </c>
      <c r="E15" s="14"/>
      <c r="F15" s="17">
        <f>27500*30</f>
        <v>825000</v>
      </c>
      <c r="G15" s="14"/>
      <c r="H15" s="25">
        <f>+'[1]NGI Socal'!$E15</f>
        <v>5.964999999999999</v>
      </c>
      <c r="I15" s="111">
        <f t="shared" si="1"/>
        <v>395999.99999999959</v>
      </c>
      <c r="J15" s="14"/>
      <c r="K15" s="113">
        <f t="shared" si="0"/>
        <v>395999.99999999959</v>
      </c>
    </row>
    <row r="16" spans="1:12" x14ac:dyDescent="0.2">
      <c r="A16" s="24">
        <v>37438</v>
      </c>
      <c r="B16" s="14"/>
      <c r="C16" s="15" t="s">
        <v>11</v>
      </c>
      <c r="D16" s="25">
        <f>+[1]NYMEX!$C25+$D$9</f>
        <v>5.5</v>
      </c>
      <c r="E16" s="14"/>
      <c r="F16" s="17">
        <f>27500*31</f>
        <v>852500</v>
      </c>
      <c r="G16" s="14"/>
      <c r="H16" s="25">
        <f>+'[1]NGI Socal'!$E16</f>
        <v>6.7249999999999996</v>
      </c>
      <c r="I16" s="111">
        <f t="shared" si="1"/>
        <v>1044312.4999999997</v>
      </c>
      <c r="J16" s="14"/>
      <c r="K16" s="113">
        <f t="shared" si="0"/>
        <v>1044312.4999999997</v>
      </c>
    </row>
    <row r="17" spans="1:11" x14ac:dyDescent="0.2">
      <c r="A17" s="24">
        <v>37469</v>
      </c>
      <c r="B17" s="14"/>
      <c r="C17" s="15" t="s">
        <v>11</v>
      </c>
      <c r="D17" s="25">
        <f>+[1]NYMEX!$C26+$D$9</f>
        <v>5.5</v>
      </c>
      <c r="E17" s="14"/>
      <c r="F17" s="17">
        <f>27500*31</f>
        <v>852500</v>
      </c>
      <c r="G17" s="14"/>
      <c r="H17" s="25">
        <f>+'[1]NGI Socal'!$E17</f>
        <v>6.7249999999999996</v>
      </c>
      <c r="I17" s="111">
        <f t="shared" si="1"/>
        <v>1044312.4999999997</v>
      </c>
      <c r="J17" s="14"/>
      <c r="K17" s="113">
        <f t="shared" si="0"/>
        <v>1044312.4999999997</v>
      </c>
    </row>
    <row r="18" spans="1:11" x14ac:dyDescent="0.2">
      <c r="A18" s="24">
        <v>37500</v>
      </c>
      <c r="B18" s="14"/>
      <c r="C18" s="15" t="s">
        <v>11</v>
      </c>
      <c r="D18" s="25">
        <f>+[1]NYMEX!$C27+$D$9</f>
        <v>5.5</v>
      </c>
      <c r="E18" s="14"/>
      <c r="F18" s="17">
        <f>27500*30</f>
        <v>825000</v>
      </c>
      <c r="G18" s="14"/>
      <c r="H18" s="25">
        <f>+'[1]NGI Socal'!$E18</f>
        <v>6.7249999999999996</v>
      </c>
      <c r="I18" s="111">
        <f t="shared" si="1"/>
        <v>1010624.9999999997</v>
      </c>
      <c r="J18" s="14"/>
      <c r="K18" s="113">
        <f t="shared" si="0"/>
        <v>1010624.9999999997</v>
      </c>
    </row>
    <row r="19" spans="1:11" x14ac:dyDescent="0.2">
      <c r="A19" s="24">
        <v>37530</v>
      </c>
      <c r="B19" s="14"/>
      <c r="C19" s="15" t="s">
        <v>11</v>
      </c>
      <c r="D19" s="25">
        <f>+[1]NYMEX!$C28+$D$9</f>
        <v>5.5149999999999997</v>
      </c>
      <c r="E19" s="14"/>
      <c r="F19" s="17">
        <f>27500*31</f>
        <v>852500</v>
      </c>
      <c r="G19" s="14"/>
      <c r="H19" s="25">
        <f>+'[1]NGI Socal'!$E19</f>
        <v>6.1099999999999994</v>
      </c>
      <c r="I19" s="111">
        <f t="shared" si="1"/>
        <v>507237.49999999977</v>
      </c>
      <c r="J19" s="14"/>
      <c r="K19" s="113">
        <f t="shared" si="0"/>
        <v>507237.49999999977</v>
      </c>
    </row>
    <row r="20" spans="1:11" x14ac:dyDescent="0.2">
      <c r="A20" s="24">
        <v>37561</v>
      </c>
      <c r="B20" s="14"/>
      <c r="C20" s="15" t="s">
        <v>11</v>
      </c>
      <c r="D20" s="25">
        <f>+[1]NYMEX!$C29+$D$9</f>
        <v>5.62</v>
      </c>
      <c r="E20" s="14"/>
      <c r="F20" s="17">
        <f>27500*30</f>
        <v>825000</v>
      </c>
      <c r="G20" s="14"/>
      <c r="H20" s="25">
        <f>+'[1]NGI Socal'!$E20</f>
        <v>5.93</v>
      </c>
      <c r="I20" s="111">
        <f t="shared" si="1"/>
        <v>255749.99999999968</v>
      </c>
      <c r="J20" s="14"/>
      <c r="K20" s="113">
        <f t="shared" si="0"/>
        <v>255749.99999999968</v>
      </c>
    </row>
    <row r="21" spans="1:11" x14ac:dyDescent="0.2">
      <c r="A21" s="24">
        <v>37591</v>
      </c>
      <c r="B21" s="14"/>
      <c r="C21" s="15" t="s">
        <v>11</v>
      </c>
      <c r="D21" s="25">
        <f>+[1]NYMEX!$C30+$D$9</f>
        <v>5.7249999999999996</v>
      </c>
      <c r="E21" s="14"/>
      <c r="F21" s="43">
        <f>27500*31</f>
        <v>852500</v>
      </c>
      <c r="G21" s="14"/>
      <c r="H21" s="25">
        <f>+'[1]NGI Socal'!$E21</f>
        <v>6.0349999999999993</v>
      </c>
      <c r="I21" s="111">
        <f t="shared" si="1"/>
        <v>264274.99999999965</v>
      </c>
      <c r="J21" s="44"/>
      <c r="K21" s="113">
        <f t="shared" si="0"/>
        <v>264274.99999999965</v>
      </c>
    </row>
    <row r="22" spans="1:11" x14ac:dyDescent="0.2">
      <c r="A22" s="24"/>
      <c r="B22" s="14"/>
      <c r="C22" s="15"/>
      <c r="D22" s="25"/>
      <c r="E22" s="14"/>
      <c r="F22" s="17">
        <f>SUM(F10:F21)</f>
        <v>10037500</v>
      </c>
      <c r="G22" s="14"/>
      <c r="H22" s="25"/>
      <c r="I22" s="109">
        <f>SUM(I10:I21)</f>
        <v>7702337.4999999991</v>
      </c>
      <c r="J22" s="109">
        <f>SUM(J10:J21)</f>
        <v>0</v>
      </c>
      <c r="K22" s="109">
        <f>SUM(K10:K21)</f>
        <v>7702337.4999999991</v>
      </c>
    </row>
    <row r="23" spans="1:11" x14ac:dyDescent="0.2">
      <c r="A23" s="24"/>
      <c r="B23" s="14"/>
      <c r="C23" s="15"/>
      <c r="D23" s="25"/>
      <c r="E23" s="14"/>
      <c r="F23" s="17"/>
      <c r="G23" s="19"/>
      <c r="H23" s="25"/>
      <c r="I23" s="16"/>
      <c r="J23" s="29"/>
      <c r="K23" s="18"/>
    </row>
    <row r="24" spans="1:11" x14ac:dyDescent="0.2">
      <c r="A24" s="24"/>
      <c r="B24" s="14"/>
      <c r="C24" s="15"/>
      <c r="D24" s="25"/>
      <c r="E24" s="14"/>
      <c r="F24" s="17"/>
      <c r="G24" s="14"/>
      <c r="H24" s="25"/>
      <c r="I24" s="16"/>
      <c r="J24" s="29"/>
      <c r="K24" s="18"/>
    </row>
    <row r="25" spans="1:11" ht="13.5" thickBot="1" x14ac:dyDescent="0.25">
      <c r="A25" s="24"/>
      <c r="B25" s="14"/>
      <c r="C25" s="15"/>
      <c r="D25" s="25"/>
      <c r="E25" s="14"/>
      <c r="F25" s="45">
        <f>+F22</f>
        <v>10037500</v>
      </c>
      <c r="G25" s="14"/>
      <c r="H25" s="25"/>
      <c r="I25" s="115">
        <f>+I22</f>
        <v>7702337.4999999991</v>
      </c>
      <c r="J25" s="115">
        <f>+J22</f>
        <v>0</v>
      </c>
      <c r="K25" s="115">
        <f>+K22</f>
        <v>7702337.4999999991</v>
      </c>
    </row>
    <row r="26" spans="1:11" ht="13.5" thickTop="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30"/>
      <c r="K26" s="30"/>
    </row>
    <row r="28" spans="1:11" x14ac:dyDescent="0.2">
      <c r="A28" s="23" t="s">
        <v>13</v>
      </c>
    </row>
    <row r="30" spans="1:11" x14ac:dyDescent="0.2">
      <c r="D30" t="s">
        <v>28</v>
      </c>
      <c r="H30" t="s">
        <v>10</v>
      </c>
    </row>
    <row r="31" spans="1:11" x14ac:dyDescent="0.2">
      <c r="D31" t="s">
        <v>25</v>
      </c>
      <c r="H31" t="s">
        <v>27</v>
      </c>
    </row>
    <row r="32" spans="1:11" x14ac:dyDescent="0.2">
      <c r="D32" t="s">
        <v>34</v>
      </c>
      <c r="H32" t="s">
        <v>35</v>
      </c>
    </row>
    <row r="33" spans="1:9" x14ac:dyDescent="0.2">
      <c r="D33">
        <v>-0.05</v>
      </c>
    </row>
    <row r="35" spans="1:9" x14ac:dyDescent="0.2">
      <c r="A35" s="24">
        <v>37257</v>
      </c>
      <c r="D35" s="54">
        <f>+'[1]NGI Socal'!$E10+$D$33</f>
        <v>7.6700000000000008</v>
      </c>
      <c r="F35" s="17">
        <f>27500*31</f>
        <v>852500</v>
      </c>
      <c r="H35">
        <f>+'[1]ELpaso SJ &amp; Prm'!$F20</f>
        <v>5.2549999999999999</v>
      </c>
      <c r="I35" s="117">
        <f>(+H35-D35)*F35</f>
        <v>-2058787.5000000007</v>
      </c>
    </row>
    <row r="36" spans="1:9" x14ac:dyDescent="0.2">
      <c r="A36" s="24">
        <v>37288</v>
      </c>
      <c r="D36" s="54">
        <f>+'[1]NGI Socal'!$E11+$D$33</f>
        <v>7.38</v>
      </c>
      <c r="F36" s="17">
        <f>27500*28</f>
        <v>770000</v>
      </c>
      <c r="H36">
        <f>+'[1]ELpaso SJ &amp; Prm'!$F21</f>
        <v>5.0649999999999995</v>
      </c>
      <c r="I36" s="117">
        <f t="shared" ref="I36:I46" si="2">(+H36-D36)*F36</f>
        <v>-1782550.0000000002</v>
      </c>
    </row>
    <row r="37" spans="1:9" x14ac:dyDescent="0.2">
      <c r="A37" s="24">
        <v>37316</v>
      </c>
      <c r="D37" s="54">
        <f>+'[1]NGI Socal'!$E12+$D$33</f>
        <v>6.6300000000000008</v>
      </c>
      <c r="F37" s="17">
        <f>27500*31</f>
        <v>852500</v>
      </c>
      <c r="H37">
        <f>+'[1]ELpaso SJ &amp; Prm'!$F22</f>
        <v>4.7649999999999997</v>
      </c>
      <c r="I37" s="117">
        <f t="shared" si="2"/>
        <v>-1589912.5000000009</v>
      </c>
    </row>
    <row r="38" spans="1:9" x14ac:dyDescent="0.2">
      <c r="A38" s="24">
        <v>37347</v>
      </c>
      <c r="D38" s="54">
        <f>+'[1]NGI Socal'!$E13+$D$33</f>
        <v>6.05</v>
      </c>
      <c r="F38" s="17">
        <f>27500*30</f>
        <v>825000</v>
      </c>
      <c r="H38">
        <f>+'[1]ELpaso SJ &amp; Prm'!$F23</f>
        <v>4.37</v>
      </c>
      <c r="I38" s="117">
        <f t="shared" si="2"/>
        <v>-1385999.9999999998</v>
      </c>
    </row>
    <row r="39" spans="1:9" x14ac:dyDescent="0.2">
      <c r="A39" s="24">
        <v>37377</v>
      </c>
      <c r="D39" s="54">
        <f>+'[1]NGI Socal'!$E14+$D$33</f>
        <v>5.92</v>
      </c>
      <c r="F39" s="17">
        <f>27500*31</f>
        <v>852500</v>
      </c>
      <c r="H39">
        <f>+'[1]ELpaso SJ &amp; Prm'!$F24</f>
        <v>4.24</v>
      </c>
      <c r="I39" s="117">
        <f t="shared" si="2"/>
        <v>-1432199.9999999998</v>
      </c>
    </row>
    <row r="40" spans="1:9" x14ac:dyDescent="0.2">
      <c r="A40" s="24">
        <v>37408</v>
      </c>
      <c r="D40" s="54">
        <f>+'[1]NGI Socal'!$E15+$D$33</f>
        <v>5.9149999999999991</v>
      </c>
      <c r="F40" s="17">
        <f>27500*30</f>
        <v>825000</v>
      </c>
      <c r="H40">
        <f>+'[1]ELpaso SJ &amp; Prm'!$F25</f>
        <v>4.2349999999999994</v>
      </c>
      <c r="I40" s="117">
        <f t="shared" si="2"/>
        <v>-1385999.9999999998</v>
      </c>
    </row>
    <row r="41" spans="1:9" x14ac:dyDescent="0.2">
      <c r="A41" s="24">
        <v>37438</v>
      </c>
      <c r="D41" s="54">
        <f>+'[1]NGI Socal'!$E16+$D$33</f>
        <v>6.6749999999999998</v>
      </c>
      <c r="F41" s="17">
        <f>27500*31</f>
        <v>852500</v>
      </c>
      <c r="H41">
        <f>+'[1]ELpaso SJ &amp; Prm'!$F26</f>
        <v>4.25</v>
      </c>
      <c r="I41" s="117">
        <f t="shared" si="2"/>
        <v>-2067312.4999999998</v>
      </c>
    </row>
    <row r="42" spans="1:9" x14ac:dyDescent="0.2">
      <c r="A42" s="24">
        <v>37469</v>
      </c>
      <c r="D42" s="54">
        <f>+'[1]NGI Socal'!$E17+$D$33</f>
        <v>6.6749999999999998</v>
      </c>
      <c r="F42" s="17">
        <f>27500*31</f>
        <v>852500</v>
      </c>
      <c r="H42">
        <f>+'[1]ELpaso SJ &amp; Prm'!$F27</f>
        <v>4.25</v>
      </c>
      <c r="I42" s="117">
        <f t="shared" si="2"/>
        <v>-2067312.4999999998</v>
      </c>
    </row>
    <row r="43" spans="1:9" x14ac:dyDescent="0.2">
      <c r="A43" s="24">
        <v>37500</v>
      </c>
      <c r="D43" s="54">
        <f>+'[1]NGI Socal'!$E18+$D$33</f>
        <v>6.6749999999999998</v>
      </c>
      <c r="F43" s="17">
        <f>27500*30</f>
        <v>825000</v>
      </c>
      <c r="H43">
        <f>+'[1]ELpaso SJ &amp; Prm'!$F28</f>
        <v>4.25</v>
      </c>
      <c r="I43" s="117">
        <f t="shared" si="2"/>
        <v>-2000624.9999999998</v>
      </c>
    </row>
    <row r="44" spans="1:9" x14ac:dyDescent="0.2">
      <c r="A44" s="24">
        <v>37530</v>
      </c>
      <c r="D44" s="54">
        <f>+'[1]NGI Socal'!$E19+$D$33</f>
        <v>6.06</v>
      </c>
      <c r="F44" s="17">
        <f>27500*31</f>
        <v>852500</v>
      </c>
      <c r="H44">
        <f>+'[1]ELpaso SJ &amp; Prm'!$F29</f>
        <v>4.2649999999999997</v>
      </c>
      <c r="I44" s="117">
        <f t="shared" si="2"/>
        <v>-1530237.5</v>
      </c>
    </row>
    <row r="45" spans="1:9" x14ac:dyDescent="0.2">
      <c r="A45" s="24">
        <v>37561</v>
      </c>
      <c r="D45" s="54">
        <f>+'[1]NGI Socal'!$E20+$D$33</f>
        <v>5.88</v>
      </c>
      <c r="F45" s="17">
        <f>27500*30</f>
        <v>825000</v>
      </c>
      <c r="H45">
        <f>+'[1]ELpaso SJ &amp; Prm'!$F30</f>
        <v>4.3950000000000005</v>
      </c>
      <c r="I45" s="117">
        <f t="shared" si="2"/>
        <v>-1225124.9999999995</v>
      </c>
    </row>
    <row r="46" spans="1:9" x14ac:dyDescent="0.2">
      <c r="A46" s="24">
        <v>37591</v>
      </c>
      <c r="D46" s="54">
        <f>+'[1]NGI Socal'!$E21+$D$33</f>
        <v>5.9849999999999994</v>
      </c>
      <c r="F46" s="43">
        <f>27500*31</f>
        <v>852500</v>
      </c>
      <c r="H46">
        <f>+'[1]ELpaso SJ &amp; Prm'!$F31</f>
        <v>4.5</v>
      </c>
      <c r="I46" s="117">
        <f t="shared" si="2"/>
        <v>-1265962.4999999995</v>
      </c>
    </row>
    <row r="47" spans="1:9" x14ac:dyDescent="0.2">
      <c r="I47" s="55">
        <f>SUM(I35:I46)</f>
        <v>-19792025</v>
      </c>
    </row>
  </sheetData>
  <mergeCells count="1">
    <mergeCell ref="A4:K4"/>
  </mergeCells>
  <phoneticPr fontId="8" type="noConversion"/>
  <pageMargins left="0.75" right="0.75" top="1" bottom="1" header="0.5" footer="0.5"/>
  <pageSetup scale="77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ENA_9</vt:lpstr>
      <vt:lpstr>QL2918.1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1999-02-26T14:05:48Z</dcterms:created>
  <dc:creator> </dc:creator>
  <cp:lastModifiedBy>wsdou</cp:lastModifiedBy>
  <cp:lastPrinted>2001-02-09T19:43:52Z</cp:lastPrinted>
  <dcterms:modified xsi:type="dcterms:W3CDTF">2016-01-03T12:17:02Z</dcterms:modified>
</cp:coreProperties>
</file>