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research\spreadsheets\experiment\tse\recall-enron\groundtruth\a\"/>
    </mc:Choice>
  </mc:AlternateContent>
  <bookViews>
    <workbookView xWindow="360" yWindow="15" windowWidth="11340" windowHeight="6540"/>
  </bookViews>
  <sheets>
    <sheet name="Sheet2" sheetId="2" r:id="rId1"/>
  </sheets>
  <calcPr calcId="152511"/>
</workbook>
</file>

<file path=xl/calcChain.xml><?xml version="1.0" encoding="utf-8"?>
<calcChain xmlns="http://schemas.openxmlformats.org/spreadsheetml/2006/main">
  <c r="B7" i="2" l="1"/>
  <c r="B8" i="2"/>
  <c r="B9" i="2"/>
  <c r="B10" i="2"/>
  <c r="B11" i="2"/>
  <c r="H11" i="2"/>
  <c r="B12" i="2"/>
  <c r="B13" i="2"/>
  <c r="B14" i="2"/>
  <c r="B16" i="2"/>
  <c r="B17" i="2"/>
  <c r="B18" i="2"/>
  <c r="B19" i="2"/>
  <c r="B20" i="2"/>
  <c r="H20" i="2"/>
  <c r="B21" i="2"/>
  <c r="B22" i="2"/>
  <c r="B23" i="2"/>
  <c r="B24" i="2"/>
  <c r="B25" i="2"/>
  <c r="B26" i="2"/>
  <c r="H26" i="2"/>
  <c r="B27" i="2"/>
  <c r="H27" i="2"/>
  <c r="B28" i="2"/>
  <c r="H28" i="2"/>
  <c r="B29" i="2"/>
  <c r="B30" i="2"/>
  <c r="H30" i="2"/>
  <c r="B31" i="2"/>
  <c r="B32" i="2"/>
  <c r="B33" i="2"/>
  <c r="B34" i="2"/>
  <c r="B35" i="2"/>
  <c r="B36" i="2"/>
  <c r="B37" i="2"/>
  <c r="B38" i="2"/>
  <c r="I30" i="2" l="1"/>
  <c r="J30" i="2" s="1"/>
  <c r="B40" i="2"/>
  <c r="C8" i="2"/>
  <c r="D8" i="2" s="1"/>
  <c r="C31" i="2"/>
  <c r="D31" i="2" s="1"/>
  <c r="H40" i="2"/>
  <c r="I26" i="2" s="1"/>
  <c r="J26" i="2" s="1"/>
  <c r="J43" i="2" s="1"/>
  <c r="C37" i="2"/>
  <c r="D37" i="2" s="1"/>
  <c r="C11" i="2" l="1"/>
  <c r="D11" i="2" s="1"/>
  <c r="C14" i="2"/>
  <c r="D14" i="2" s="1"/>
  <c r="C19" i="2"/>
  <c r="D19" i="2" s="1"/>
  <c r="C22" i="2"/>
  <c r="D22" i="2" s="1"/>
  <c r="C28" i="2"/>
  <c r="D28" i="2" s="1"/>
  <c r="C34" i="2"/>
  <c r="D34" i="2" s="1"/>
  <c r="C39" i="2"/>
  <c r="D39" i="2" s="1"/>
  <c r="C13" i="2"/>
  <c r="D13" i="2" s="1"/>
  <c r="C33" i="2"/>
  <c r="D33" i="2" s="1"/>
  <c r="C7" i="2"/>
  <c r="C24" i="2"/>
  <c r="D24" i="2" s="1"/>
  <c r="C26" i="2"/>
  <c r="D26" i="2" s="1"/>
  <c r="D43" i="2" s="1"/>
  <c r="C27" i="2"/>
  <c r="D27" i="2" s="1"/>
  <c r="C36" i="2"/>
  <c r="D36" i="2" s="1"/>
  <c r="C10" i="2"/>
  <c r="D10" i="2" s="1"/>
  <c r="C18" i="2"/>
  <c r="D18" i="2" s="1"/>
  <c r="C15" i="2"/>
  <c r="D15" i="2" s="1"/>
  <c r="C21" i="2"/>
  <c r="D21" i="2" s="1"/>
  <c r="C30" i="2"/>
  <c r="D30" i="2" s="1"/>
  <c r="C38" i="2"/>
  <c r="D38" i="2" s="1"/>
  <c r="C29" i="2"/>
  <c r="D29" i="2" s="1"/>
  <c r="C20" i="2"/>
  <c r="D20" i="2" s="1"/>
  <c r="C35" i="2"/>
  <c r="D35" i="2" s="1"/>
  <c r="C12" i="2"/>
  <c r="D12" i="2" s="1"/>
  <c r="C32" i="2"/>
  <c r="D32" i="2" s="1"/>
  <c r="C23" i="2"/>
  <c r="D23" i="2" s="1"/>
  <c r="C17" i="2"/>
  <c r="D17" i="2" s="1"/>
  <c r="C9" i="2"/>
  <c r="D9" i="2" s="1"/>
  <c r="C16" i="2"/>
  <c r="D16" i="2" s="1"/>
  <c r="I9" i="2"/>
  <c r="J9" i="2" s="1"/>
  <c r="I12" i="2"/>
  <c r="J12" i="2" s="1"/>
  <c r="I17" i="2"/>
  <c r="J17" i="2" s="1"/>
  <c r="I20" i="2"/>
  <c r="J20" i="2" s="1"/>
  <c r="I29" i="2"/>
  <c r="J29" i="2" s="1"/>
  <c r="I32" i="2"/>
  <c r="J32" i="2" s="1"/>
  <c r="I8" i="2"/>
  <c r="J8" i="2" s="1"/>
  <c r="I28" i="2"/>
  <c r="J28" i="2" s="1"/>
  <c r="I36" i="2"/>
  <c r="J36" i="2" s="1"/>
  <c r="I25" i="2"/>
  <c r="J25" i="2" s="1"/>
  <c r="I37" i="2"/>
  <c r="J37" i="2" s="1"/>
  <c r="I14" i="2"/>
  <c r="J14" i="2" s="1"/>
  <c r="I19" i="2"/>
  <c r="J19" i="2" s="1"/>
  <c r="I34" i="2"/>
  <c r="J34" i="2" s="1"/>
  <c r="I39" i="2"/>
  <c r="J39" i="2" s="1"/>
  <c r="I16" i="2"/>
  <c r="J16" i="2" s="1"/>
  <c r="I31" i="2"/>
  <c r="J31" i="2" s="1"/>
  <c r="I10" i="2"/>
  <c r="J10" i="2" s="1"/>
  <c r="I22" i="2"/>
  <c r="J22" i="2" s="1"/>
  <c r="I24" i="2"/>
  <c r="J24" i="2" s="1"/>
  <c r="I13" i="2"/>
  <c r="J13" i="2" s="1"/>
  <c r="I18" i="2"/>
  <c r="J18" i="2" s="1"/>
  <c r="I23" i="2"/>
  <c r="J23" i="2" s="1"/>
  <c r="I35" i="2"/>
  <c r="J35" i="2" s="1"/>
  <c r="I11" i="2"/>
  <c r="J11" i="2" s="1"/>
  <c r="I27" i="2"/>
  <c r="J27" i="2" s="1"/>
  <c r="I38" i="2"/>
  <c r="J38" i="2" s="1"/>
  <c r="I7" i="2"/>
  <c r="I21" i="2"/>
  <c r="J21" i="2" s="1"/>
  <c r="I15" i="2"/>
  <c r="J15" i="2" s="1"/>
  <c r="I33" i="2"/>
  <c r="J33" i="2" s="1"/>
  <c r="C25" i="2"/>
  <c r="D25" i="2" s="1"/>
  <c r="D7" i="2" l="1"/>
  <c r="D40" i="2" s="1"/>
  <c r="D42" i="2" s="1"/>
  <c r="C40" i="2"/>
  <c r="I40" i="2"/>
  <c r="J7" i="2"/>
  <c r="J40" i="2" s="1"/>
  <c r="J42" i="2" s="1"/>
</calcChain>
</file>

<file path=xl/comments1.xml><?xml version="1.0" encoding="utf-8"?>
<comments xmlns="http://schemas.openxmlformats.org/spreadsheetml/2006/main">
  <authors>
    <author/>
  </authors>
  <commentList>
    <comment ref="D16" authorId="0" shapeId="0">
      <text>
        <r>
          <rPr>
            <sz val="10"/>
            <rFont val="Arial"/>
          </rPr>
          <t>Suggested Repair:C16*$D$6
Suggested Value:0.48344583958926957</t>
        </r>
      </text>
    </comment>
    <comment ref="D35" authorId="0" shapeId="0">
      <text>
        <r>
          <rPr>
            <sz val="10"/>
            <rFont val="Arial"/>
          </rPr>
          <t>Suggested Repair:C35*$D$6
Suggested Value:0.36419989492666005</t>
        </r>
      </text>
    </comment>
    <comment ref="D40" authorId="0" shapeId="0">
      <text>
        <r>
          <rPr>
            <sz val="10"/>
            <rFont val="Arial"/>
          </rPr>
          <t>Suggested Repair:SUM(D33,D36,D25,D34,D31,D7,D20,D28,D23,D27,D26,D18,D8,D29,D24,D35,D19,D30,D14,D37,D13,D38,D11,D10,D22,D21,D15,D9,D17,D16,D12,D32,D39)
Suggested Value:138.506</t>
        </r>
      </text>
    </comment>
  </commentList>
</comments>
</file>

<file path=xl/sharedStrings.xml><?xml version="1.0" encoding="utf-8"?>
<sst xmlns="http://schemas.openxmlformats.org/spreadsheetml/2006/main" count="84" uniqueCount="46">
  <si>
    <t>Human Resources Consolidated</t>
  </si>
  <si>
    <t>Analysis of I/C Billings</t>
  </si>
  <si>
    <t>2001 Forecast</t>
  </si>
  <si>
    <t>2002 Plan</t>
  </si>
  <si>
    <t>$</t>
  </si>
  <si>
    <t>%</t>
  </si>
  <si>
    <t>HC</t>
  </si>
  <si>
    <t xml:space="preserve">  APACHI</t>
  </si>
  <si>
    <t xml:space="preserve">  CALME</t>
  </si>
  <si>
    <t xml:space="preserve">  CF-MTBE</t>
  </si>
  <si>
    <t xml:space="preserve">  Citrus</t>
  </si>
  <si>
    <t xml:space="preserve">  CORP</t>
  </si>
  <si>
    <t xml:space="preserve">  EBS</t>
  </si>
  <si>
    <t xml:space="preserve">  ECB</t>
  </si>
  <si>
    <t xml:space="preserve">  EEDC</t>
  </si>
  <si>
    <t xml:space="preserve">  EEL</t>
  </si>
  <si>
    <t xml:space="preserve">  EEOS</t>
  </si>
  <si>
    <t xml:space="preserve">  EES Retail</t>
  </si>
  <si>
    <t xml:space="preserve">  EES Wholesale</t>
  </si>
  <si>
    <t xml:space="preserve">  EFS</t>
  </si>
  <si>
    <t xml:space="preserve">  EGAS</t>
  </si>
  <si>
    <t xml:space="preserve">  EGEP</t>
  </si>
  <si>
    <t xml:space="preserve">  EGF</t>
  </si>
  <si>
    <t xml:space="preserve">  EGM</t>
  </si>
  <si>
    <t xml:space="preserve">  EIM</t>
  </si>
  <si>
    <t xml:space="preserve">  EIP</t>
  </si>
  <si>
    <t xml:space="preserve">  ENA</t>
  </si>
  <si>
    <t xml:space="preserve">  ENW</t>
  </si>
  <si>
    <t xml:space="preserve">  EPI</t>
  </si>
  <si>
    <t xml:space="preserve">  EREC</t>
  </si>
  <si>
    <t xml:space="preserve">  ETS</t>
  </si>
  <si>
    <t xml:space="preserve">  FGT</t>
  </si>
  <si>
    <t xml:space="preserve">  HPLP</t>
  </si>
  <si>
    <t xml:space="preserve">  India</t>
  </si>
  <si>
    <t xml:space="preserve">  NEPCO</t>
  </si>
  <si>
    <t xml:space="preserve">  NNG</t>
  </si>
  <si>
    <t xml:space="preserve">  Northern Plains</t>
  </si>
  <si>
    <t xml:space="preserve">  South America</t>
  </si>
  <si>
    <t xml:space="preserve">  TW</t>
  </si>
  <si>
    <t xml:space="preserve">  Xcelerator</t>
  </si>
  <si>
    <t>Total 2001 Forecast Allocations</t>
  </si>
  <si>
    <t>Total 2002 Plan Allocations</t>
  </si>
  <si>
    <t>Other Business Units</t>
  </si>
  <si>
    <t>Net ENA</t>
  </si>
  <si>
    <t>Note</t>
  </si>
  <si>
    <t xml:space="preserve">      2002 Plan Direct Expense and allocations to business units include Bonus Accrual.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</si>
</sst>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7" formatCode="_(* #,##0.00_);_(* \(#,##0.00\);_(* &quot;-&quot;??_);_(@_)"/>
    <numFmt numFmtId="179" formatCode="_(* #,##0_);_(* \(#,##0\);_(* &quot;-&quot;??_);_(@_)"/>
  </numFmts>
  <fonts count="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7"/>
        <bgColor indexed="17"/>
      </patternFill>
    </fill>
    <fill>
      <patternFill patternType="solid">
        <fgColor indexed="13"/>
        <bgColor indexed="13"/>
      </patternFill>
    </fill>
    <fill>
      <patternFill patternType="solid">
        <fgColor indexed="10"/>
        <bgColor indexed="10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77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179" fontId="1" fillId="0" borderId="0" xfId="1" applyNumberFormat="1"/>
    <xf numFmtId="9" fontId="1" fillId="0" borderId="0" xfId="2" applyNumberFormat="1"/>
    <xf numFmtId="179" fontId="0" fillId="0" borderId="0" xfId="1" applyNumberFormat="1" applyFont="1"/>
    <xf numFmtId="177" fontId="1" fillId="0" borderId="0" xfId="1" applyNumberFormat="1"/>
    <xf numFmtId="179" fontId="2" fillId="0" borderId="0" xfId="1" applyNumberFormat="1" applyFont="1"/>
    <xf numFmtId="179" fontId="1" fillId="0" borderId="0" xfId="1" applyNumberFormat="1" applyFont="1"/>
    <xf numFmtId="0" fontId="0" fillId="2" borderId="0" xfId="0" applyFill="1"/>
    <xf numFmtId="179" fontId="1" fillId="2" borderId="0" xfId="1" applyNumberFormat="1" applyFill="1"/>
    <xf numFmtId="179" fontId="1" fillId="0" borderId="0" xfId="1" applyNumberFormat="1" applyBorder="1"/>
    <xf numFmtId="179" fontId="1" fillId="0" borderId="1" xfId="1" applyNumberFormat="1" applyBorder="1"/>
    <xf numFmtId="1" fontId="0" fillId="0" borderId="0" xfId="0" applyNumberFormat="1"/>
    <xf numFmtId="0" fontId="0" fillId="0" borderId="0" xfId="0" applyAlignment="1">
      <alignment horizontal="right"/>
    </xf>
    <xf numFmtId="179" fontId="0" fillId="0" borderId="0" xfId="0" applyNumberFormat="1"/>
    <xf numFmtId="0" fontId="0" fillId="0" borderId="0" xfId="0" applyBorder="1"/>
    <xf numFmtId="179" fontId="1" fillId="0" borderId="0" xfId="1" applyNumberFormat="1" applyFont="1" applyBorder="1"/>
    <xf numFmtId="0" fontId="0" fillId="0" borderId="0" xfId="0" applyFill="1" applyBorder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5" borderId="0" xfId="0" applyFill="1"/>
    <xf numFmtId="0" fontId="0" fillId="4" borderId="0" xfId="0" applyFill="1"/>
    <xf numFmtId="0" fontId="0" fillId="5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3" fillId="0" borderId="0" xfId="0" applyFont="1" applyBorder="1" applyAlignment="1">
      <alignment horizontal="center"/>
    </xf>
    <xf numFmtId="0" fontId="0" fillId="0" borderId="0" xfId="0" applyAlignment="1"/>
    <xf numFmtId="0" fontId="4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/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57150</xdr:colOff>
      <xdr:row>57</xdr:row>
      <xdr:rowOff>57150</xdr:rowOff>
    </xdr:to>
    <xdr:sp macro="" textlink="">
      <xdr:nvSpPr>
        <xdr:cNvPr id="2052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4"/>
  <sheetViews>
    <sheetView showFormulas="1" tabSelected="1" topLeftCell="A43" zoomScale="75" workbookViewId="0">
      <selection activeCell="H40" sqref="H40"/>
    </sheetView>
  </sheetViews>
  <sheetFormatPr defaultRowHeight="12.75" x14ac:dyDescent="0.2"/>
  <cols>
    <col min="1" max="1" width="27.7109375" bestFit="1" customWidth="1" collapsed="1"/>
    <col min="2" max="2" width="12.85546875" bestFit="1" customWidth="1" collapsed="1"/>
    <col min="3" max="3" width="7.42578125" customWidth="1" collapsed="1"/>
    <col min="4" max="4" width="6.85546875" customWidth="1" collapsed="1"/>
    <col min="5" max="5" width="6.140625" customWidth="1" collapsed="1"/>
    <col min="6" max="6" width="2.5703125" customWidth="1" collapsed="1"/>
    <col min="7" max="7" width="27.28515625" bestFit="1" customWidth="1" collapsed="1"/>
    <col min="8" max="8" width="12.28515625" bestFit="1" customWidth="1" collapsed="1"/>
    <col min="9" max="9" width="7.42578125" customWidth="1" collapsed="1"/>
    <col min="10" max="10" width="5.7109375" customWidth="1" collapsed="1"/>
    <col min="11" max="11" width="3.7109375" bestFit="1" customWidth="1" collapsed="1"/>
    <col min="13" max="13" width="12.85546875" bestFit="1" customWidth="1" collapsed="1"/>
    <col min="14" max="14" width="10.28515625" bestFit="1" customWidth="1" collapsed="1"/>
    <col min="15" max="15" width="11.28515625" bestFit="1" customWidth="1" collapsed="1"/>
  </cols>
  <sheetData>
    <row r="1" spans="1:15" ht="15.75" x14ac:dyDescent="0.25">
      <c r="A1" s="29" t="s">
        <v>0</v>
      </c>
      <c r="B1" s="29"/>
      <c r="C1" s="29"/>
      <c r="D1" s="29"/>
      <c r="E1" s="29"/>
      <c r="F1" s="29"/>
      <c r="G1" s="29"/>
      <c r="H1" s="30"/>
      <c r="I1" s="30"/>
      <c r="J1" s="30"/>
    </row>
    <row r="2" spans="1:15" ht="15" x14ac:dyDescent="0.2">
      <c r="A2" s="31" t="s">
        <v>1</v>
      </c>
      <c r="B2" s="31"/>
      <c r="C2" s="31"/>
      <c r="D2" s="31"/>
      <c r="E2" s="31"/>
      <c r="F2" s="31"/>
      <c r="G2" s="31"/>
      <c r="H2" s="30"/>
      <c r="I2" s="30"/>
      <c r="J2" s="30"/>
    </row>
    <row r="4" spans="1:15" x14ac:dyDescent="0.2">
      <c r="A4" s="32" t="s">
        <v>2</v>
      </c>
      <c r="B4" s="32"/>
      <c r="C4" s="33"/>
      <c r="D4" s="33"/>
      <c r="E4" s="2"/>
      <c r="F4" s="2"/>
      <c r="G4" s="32" t="s">
        <v>3</v>
      </c>
      <c r="H4" s="32"/>
      <c r="I4" s="33"/>
      <c r="J4" s="33"/>
    </row>
    <row r="5" spans="1:15" x14ac:dyDescent="0.2">
      <c r="B5" s="1" t="s">
        <v>4</v>
      </c>
      <c r="C5" s="1" t="s">
        <v>5</v>
      </c>
      <c r="D5" s="1" t="s">
        <v>6</v>
      </c>
      <c r="E5" s="3"/>
      <c r="F5" s="3"/>
      <c r="H5" s="1" t="s">
        <v>4</v>
      </c>
      <c r="I5" s="1" t="s">
        <v>5</v>
      </c>
      <c r="J5" s="1" t="s">
        <v>6</v>
      </c>
    </row>
    <row r="6" spans="1:15" ht="20.25" customHeight="1" x14ac:dyDescent="0.2">
      <c r="B6" s="3"/>
      <c r="C6" s="3"/>
      <c r="D6" s="2">
        <v>138</v>
      </c>
      <c r="E6" s="3"/>
      <c r="F6" s="3"/>
      <c r="J6">
        <v>164</v>
      </c>
    </row>
    <row r="7" spans="1:15" ht="18.75" customHeight="1" x14ac:dyDescent="0.2">
      <c r="A7" t="s">
        <v>7</v>
      </c>
      <c r="B7" s="4">
        <f>3000</f>
        <v>3000</v>
      </c>
      <c r="C7" s="20">
        <f t="shared" ref="C7:C39" si="0">+B7/B$40</f>
        <v>1.6844075015200375E-4</v>
      </c>
      <c r="D7" s="21">
        <f t="shared" ref="D7:D38" si="1">+C7*D$6</f>
        <v>2.3244823520976517E-2</v>
      </c>
      <c r="E7" s="4"/>
      <c r="F7" s="4"/>
      <c r="G7" t="s">
        <v>7</v>
      </c>
      <c r="H7" s="4">
        <v>0</v>
      </c>
      <c r="I7" s="27">
        <f t="shared" ref="I7:I23" si="2">+H7/H$40</f>
        <v>0</v>
      </c>
      <c r="J7" s="28">
        <f t="shared" ref="J7:J38" si="3">+I7*J$6</f>
        <v>0</v>
      </c>
      <c r="M7" s="6"/>
      <c r="N7" s="6"/>
      <c r="O7" s="6"/>
    </row>
    <row r="8" spans="1:15" x14ac:dyDescent="0.2">
      <c r="A8" t="s">
        <v>8</v>
      </c>
      <c r="B8" s="4">
        <f>996</f>
        <v>996</v>
      </c>
      <c r="C8" s="20">
        <f t="shared" si="0"/>
        <v>5.5922329050465245E-5</v>
      </c>
      <c r="D8" s="21">
        <f t="shared" si="1"/>
        <v>7.717281408964204E-3</v>
      </c>
      <c r="E8" s="4"/>
      <c r="F8" s="4"/>
      <c r="G8" t="s">
        <v>8</v>
      </c>
      <c r="H8" s="4">
        <v>0</v>
      </c>
      <c r="I8" s="27">
        <f t="shared" si="2"/>
        <v>0</v>
      </c>
      <c r="J8" s="28">
        <f t="shared" si="3"/>
        <v>0</v>
      </c>
      <c r="M8" s="6"/>
      <c r="N8" s="6"/>
      <c r="O8" s="6"/>
    </row>
    <row r="9" spans="1:15" x14ac:dyDescent="0.2">
      <c r="A9" t="s">
        <v>9</v>
      </c>
      <c r="B9" s="4">
        <f>3498</f>
        <v>3498</v>
      </c>
      <c r="C9" s="20">
        <f t="shared" si="0"/>
        <v>1.9640191467723637E-4</v>
      </c>
      <c r="D9" s="21">
        <f>+C9*D$6</f>
        <v>2.7103464225458618E-2</v>
      </c>
      <c r="E9" s="4"/>
      <c r="F9" s="4"/>
      <c r="G9" t="s">
        <v>9</v>
      </c>
      <c r="H9" s="4">
        <v>0</v>
      </c>
      <c r="I9" s="27">
        <f t="shared" si="2"/>
        <v>0</v>
      </c>
      <c r="J9" s="28">
        <f t="shared" si="3"/>
        <v>0</v>
      </c>
      <c r="M9" s="6"/>
      <c r="N9" s="6"/>
      <c r="O9" s="6"/>
    </row>
    <row r="10" spans="1:15" x14ac:dyDescent="0.2">
      <c r="A10" t="s">
        <v>10</v>
      </c>
      <c r="B10" s="4">
        <f>996</f>
        <v>996</v>
      </c>
      <c r="C10" s="20">
        <f t="shared" si="0"/>
        <v>5.5922329050465245E-5</v>
      </c>
      <c r="D10" s="21">
        <f>+C10*D$6</f>
        <v>7.717281408964204E-3</v>
      </c>
      <c r="E10" s="4"/>
      <c r="F10" s="4"/>
      <c r="G10" t="s">
        <v>10</v>
      </c>
      <c r="H10" s="4">
        <v>0</v>
      </c>
      <c r="I10" s="27">
        <f t="shared" si="2"/>
        <v>0</v>
      </c>
      <c r="J10" s="28">
        <f t="shared" si="3"/>
        <v>0</v>
      </c>
      <c r="M10" s="6"/>
      <c r="N10" s="6"/>
      <c r="O10" s="6"/>
    </row>
    <row r="11" spans="1:15" x14ac:dyDescent="0.2">
      <c r="A11" t="s">
        <v>11</v>
      </c>
      <c r="B11" s="4">
        <f>991613+401861+66243</f>
        <v>1459717</v>
      </c>
      <c r="C11" s="20">
        <f t="shared" si="0"/>
        <v>8.1958608829877475E-2</v>
      </c>
      <c r="D11" s="21">
        <f>+C11*D$6</f>
        <v>11.310288018523092</v>
      </c>
      <c r="E11" s="7"/>
      <c r="F11" s="7"/>
      <c r="G11" t="s">
        <v>11</v>
      </c>
      <c r="H11" s="4">
        <f>1658263+158587</f>
        <v>1816850</v>
      </c>
      <c r="I11" s="27">
        <f t="shared" si="2"/>
        <v>8.8997044819045981E-2</v>
      </c>
      <c r="J11" s="28">
        <f>+I11*J$6</f>
        <v>14.595515350323542</v>
      </c>
      <c r="M11" s="6"/>
      <c r="N11" s="6"/>
      <c r="O11" s="6"/>
    </row>
    <row r="12" spans="1:15" x14ac:dyDescent="0.2">
      <c r="A12" t="s">
        <v>12</v>
      </c>
      <c r="B12" s="4">
        <f>47004+109571</f>
        <v>156575</v>
      </c>
      <c r="C12" s="20">
        <f t="shared" si="0"/>
        <v>8.7912034850166614E-3</v>
      </c>
      <c r="D12" s="21">
        <f>+C12*D$6</f>
        <v>1.2131860809322992</v>
      </c>
      <c r="E12" s="4"/>
      <c r="F12" s="4"/>
      <c r="G12" t="s">
        <v>12</v>
      </c>
      <c r="H12" s="4">
        <v>1200000</v>
      </c>
      <c r="I12" s="27">
        <f t="shared" si="2"/>
        <v>5.8781106741258318E-2</v>
      </c>
      <c r="J12" s="28">
        <f t="shared" si="3"/>
        <v>9.6401015055663635</v>
      </c>
      <c r="M12" s="6"/>
      <c r="N12" s="6"/>
      <c r="O12" s="6"/>
    </row>
    <row r="13" spans="1:15" x14ac:dyDescent="0.2">
      <c r="A13" t="s">
        <v>13</v>
      </c>
      <c r="B13" s="8">
        <f>99996</f>
        <v>99996</v>
      </c>
      <c r="C13" s="20">
        <f t="shared" si="0"/>
        <v>5.6144670840665885E-3</v>
      </c>
      <c r="D13" s="21">
        <f>+C13*D$6</f>
        <v>0.7747964576011892</v>
      </c>
      <c r="E13" s="4"/>
      <c r="F13" s="4"/>
      <c r="G13" t="s">
        <v>13</v>
      </c>
      <c r="H13" s="4">
        <v>0</v>
      </c>
      <c r="I13" s="27">
        <f t="shared" si="2"/>
        <v>0</v>
      </c>
      <c r="J13" s="28">
        <f t="shared" si="3"/>
        <v>0</v>
      </c>
      <c r="K13" s="9"/>
      <c r="M13" s="6"/>
      <c r="N13" s="6"/>
      <c r="O13" s="6"/>
    </row>
    <row r="14" spans="1:15" x14ac:dyDescent="0.2">
      <c r="A14" t="s">
        <v>14</v>
      </c>
      <c r="B14" s="4">
        <f>11988</f>
        <v>11988</v>
      </c>
      <c r="C14" s="20">
        <f t="shared" si="0"/>
        <v>6.7308923760740693E-4</v>
      </c>
      <c r="D14" s="21">
        <f t="shared" si="1"/>
        <v>9.288631478982215E-2</v>
      </c>
      <c r="E14" s="4"/>
      <c r="F14" s="4"/>
      <c r="G14" t="s">
        <v>14</v>
      </c>
      <c r="H14" s="4">
        <v>0</v>
      </c>
      <c r="I14" s="27">
        <f t="shared" si="2"/>
        <v>0</v>
      </c>
      <c r="J14" s="28">
        <f t="shared" si="3"/>
        <v>0</v>
      </c>
      <c r="K14" s="9"/>
      <c r="M14" s="6"/>
      <c r="N14" s="6"/>
      <c r="O14" s="6"/>
    </row>
    <row r="15" spans="1:15" x14ac:dyDescent="0.2">
      <c r="A15" t="s">
        <v>15</v>
      </c>
      <c r="B15" s="4">
        <v>68004</v>
      </c>
      <c r="C15" s="20">
        <f t="shared" si="0"/>
        <v>3.8182149244456206E-3</v>
      </c>
      <c r="D15" s="21">
        <f>+C15*D$6</f>
        <v>0.52691365957349567</v>
      </c>
      <c r="E15" s="4"/>
      <c r="F15" s="4"/>
      <c r="G15" t="s">
        <v>15</v>
      </c>
      <c r="H15" s="4">
        <v>101948</v>
      </c>
      <c r="I15" s="27">
        <f t="shared" si="2"/>
        <v>4.9938468917148362E-3</v>
      </c>
      <c r="J15" s="28">
        <f t="shared" si="3"/>
        <v>0.81899089024123317</v>
      </c>
      <c r="K15" s="9"/>
      <c r="M15" s="6"/>
      <c r="N15" s="6"/>
      <c r="O15" s="6"/>
    </row>
    <row r="16" spans="1:15" x14ac:dyDescent="0.2">
      <c r="A16" t="s">
        <v>16</v>
      </c>
      <c r="B16" s="8">
        <f>18000+44394</f>
        <v>62394</v>
      </c>
      <c r="C16" s="20">
        <f t="shared" si="0"/>
        <v>3.5032307216613739E-3</v>
      </c>
      <c r="D16" s="22">
        <f>+C16*D$6+0.03</f>
        <v>0.51344583958926959</v>
      </c>
      <c r="E16" s="4"/>
      <c r="F16" s="4"/>
      <c r="G16" t="s">
        <v>16</v>
      </c>
      <c r="H16" s="4">
        <v>792706</v>
      </c>
      <c r="I16" s="27">
        <f t="shared" si="2"/>
        <v>3.8830113333696598E-2</v>
      </c>
      <c r="J16" s="28">
        <f t="shared" si="3"/>
        <v>6.3681385867262419</v>
      </c>
      <c r="K16" s="9"/>
      <c r="M16" s="6"/>
      <c r="N16" s="6"/>
      <c r="O16" s="6"/>
    </row>
    <row r="17" spans="1:15" x14ac:dyDescent="0.2">
      <c r="A17" t="s">
        <v>17</v>
      </c>
      <c r="B17" s="4">
        <f>60996+3953519</f>
        <v>4014515</v>
      </c>
      <c r="C17" s="20">
        <f t="shared" si="0"/>
        <v>0.22540263936549043</v>
      </c>
      <c r="D17" s="21">
        <f>+C17*D$6</f>
        <v>31.105564232437679</v>
      </c>
      <c r="E17" s="4"/>
      <c r="F17" s="4"/>
      <c r="G17" t="s">
        <v>17</v>
      </c>
      <c r="H17" s="4">
        <v>5123679</v>
      </c>
      <c r="I17" s="27">
        <f t="shared" si="2"/>
        <v>0.25097960183911977</v>
      </c>
      <c r="J17" s="28">
        <f t="shared" si="3"/>
        <v>41.160654701615641</v>
      </c>
      <c r="K17" s="9"/>
      <c r="M17" s="6"/>
      <c r="N17" s="6"/>
      <c r="O17" s="6"/>
    </row>
    <row r="18" spans="1:15" x14ac:dyDescent="0.2">
      <c r="A18" t="s">
        <v>18</v>
      </c>
      <c r="B18" s="4">
        <f>293501+58140</f>
        <v>351641</v>
      </c>
      <c r="C18" s="20">
        <f t="shared" si="0"/>
        <v>1.9743557941400248E-2</v>
      </c>
      <c r="D18" s="21">
        <f>+C18*D$6</f>
        <v>2.7246109959132343</v>
      </c>
      <c r="E18" s="4"/>
      <c r="F18" s="4"/>
      <c r="G18" t="s">
        <v>18</v>
      </c>
      <c r="H18" s="4">
        <v>108745</v>
      </c>
      <c r="I18" s="27">
        <f t="shared" si="2"/>
        <v>5.3267928771484471E-3</v>
      </c>
      <c r="J18" s="28">
        <f t="shared" si="3"/>
        <v>0.8735940318523453</v>
      </c>
      <c r="K18" s="9"/>
      <c r="M18" s="6"/>
      <c r="N18" s="6"/>
      <c r="O18" s="6"/>
    </row>
    <row r="19" spans="1:15" x14ac:dyDescent="0.2">
      <c r="A19" t="s">
        <v>19</v>
      </c>
      <c r="B19" s="4">
        <f>25982</f>
        <v>25982</v>
      </c>
      <c r="C19" s="20">
        <f t="shared" si="0"/>
        <v>1.4588091901497871E-3</v>
      </c>
      <c r="D19" s="21">
        <f t="shared" si="1"/>
        <v>0.20131566824067063</v>
      </c>
      <c r="E19" s="4"/>
      <c r="F19" s="4"/>
      <c r="G19" t="s">
        <v>19</v>
      </c>
      <c r="H19" s="4">
        <v>0</v>
      </c>
      <c r="I19" s="27">
        <f t="shared" si="2"/>
        <v>0</v>
      </c>
      <c r="J19" s="28">
        <f t="shared" si="3"/>
        <v>0</v>
      </c>
      <c r="K19" s="9"/>
      <c r="M19" s="6"/>
      <c r="N19" s="6"/>
      <c r="O19" s="6"/>
    </row>
    <row r="20" spans="1:15" x14ac:dyDescent="0.2">
      <c r="A20" t="s">
        <v>20</v>
      </c>
      <c r="B20" s="4">
        <f>10370</f>
        <v>10370</v>
      </c>
      <c r="C20" s="20">
        <f t="shared" si="0"/>
        <v>5.8224352635875961E-4</v>
      </c>
      <c r="D20" s="21">
        <f t="shared" si="1"/>
        <v>8.0349606637508827E-2</v>
      </c>
      <c r="E20" s="4"/>
      <c r="F20" s="4"/>
      <c r="G20" t="s">
        <v>20</v>
      </c>
      <c r="H20" s="4">
        <f>16724</f>
        <v>16724</v>
      </c>
      <c r="I20" s="27">
        <f t="shared" si="2"/>
        <v>8.192126909506701E-4</v>
      </c>
      <c r="J20" s="28">
        <f t="shared" si="3"/>
        <v>0.13435088131590989</v>
      </c>
      <c r="K20" s="9"/>
      <c r="M20" s="6"/>
      <c r="N20" s="6"/>
      <c r="O20" s="6"/>
    </row>
    <row r="21" spans="1:15" x14ac:dyDescent="0.2">
      <c r="A21" t="s">
        <v>21</v>
      </c>
      <c r="B21" s="4">
        <f>5004</f>
        <v>5004</v>
      </c>
      <c r="C21" s="20">
        <f t="shared" si="0"/>
        <v>2.8095917125354222E-4</v>
      </c>
      <c r="D21" s="21">
        <f t="shared" si="1"/>
        <v>3.8772365632988824E-2</v>
      </c>
      <c r="E21" s="4"/>
      <c r="F21" s="4"/>
      <c r="G21" t="s">
        <v>21</v>
      </c>
      <c r="H21" s="4">
        <v>0</v>
      </c>
      <c r="I21" s="27">
        <f t="shared" si="2"/>
        <v>0</v>
      </c>
      <c r="J21" s="28">
        <f t="shared" si="3"/>
        <v>0</v>
      </c>
      <c r="K21" s="9"/>
      <c r="M21" s="6"/>
      <c r="N21" s="6"/>
      <c r="O21" s="6"/>
    </row>
    <row r="22" spans="1:15" x14ac:dyDescent="0.2">
      <c r="A22" t="s">
        <v>22</v>
      </c>
      <c r="B22" s="4">
        <f>3000+129816</f>
        <v>132816</v>
      </c>
      <c r="C22" s="20">
        <f t="shared" si="0"/>
        <v>7.45720889072951E-3</v>
      </c>
      <c r="D22" s="21">
        <f>+C22*D$6</f>
        <v>1.0290948269206723</v>
      </c>
      <c r="E22" s="4"/>
      <c r="F22" s="4"/>
      <c r="G22" t="s">
        <v>22</v>
      </c>
      <c r="H22" s="4">
        <v>0</v>
      </c>
      <c r="I22" s="27">
        <f t="shared" si="2"/>
        <v>0</v>
      </c>
      <c r="J22" s="28">
        <f t="shared" si="3"/>
        <v>0</v>
      </c>
      <c r="K22" s="9"/>
      <c r="M22" s="6"/>
      <c r="N22" s="6"/>
      <c r="O22" s="6"/>
    </row>
    <row r="23" spans="1:15" x14ac:dyDescent="0.2">
      <c r="A23" t="s">
        <v>23</v>
      </c>
      <c r="B23" s="4">
        <f>18996+891107+112635</f>
        <v>1022738</v>
      </c>
      <c r="C23" s="20">
        <f t="shared" si="0"/>
        <v>5.7423585309653337E-2</v>
      </c>
      <c r="D23" s="21">
        <f t="shared" si="1"/>
        <v>7.9244547727321608</v>
      </c>
      <c r="E23" s="4"/>
      <c r="F23" s="4"/>
      <c r="G23" t="s">
        <v>23</v>
      </c>
      <c r="H23" s="4">
        <v>1487661</v>
      </c>
      <c r="I23" s="27">
        <f t="shared" si="2"/>
        <v>7.2871966696505919E-2</v>
      </c>
      <c r="J23" s="28">
        <f t="shared" si="3"/>
        <v>11.951002538226971</v>
      </c>
      <c r="K23" s="9"/>
      <c r="M23" s="6"/>
      <c r="N23" s="6"/>
      <c r="O23" s="6"/>
    </row>
    <row r="24" spans="1:15" x14ac:dyDescent="0.2">
      <c r="A24" t="s">
        <v>24</v>
      </c>
      <c r="B24" s="4">
        <f>5004+810548+70578</f>
        <v>886130</v>
      </c>
      <c r="C24" s="20">
        <f t="shared" si="0"/>
        <v>4.9753467310731693E-2</v>
      </c>
      <c r="D24" s="21">
        <f t="shared" si="1"/>
        <v>6.8659784888809741</v>
      </c>
      <c r="E24" s="4"/>
      <c r="F24" s="4"/>
      <c r="G24" t="s">
        <v>24</v>
      </c>
      <c r="H24" s="4">
        <v>922323</v>
      </c>
      <c r="I24" s="27">
        <f>+H24/H$40</f>
        <v>4.5179305594097996E-2</v>
      </c>
      <c r="J24" s="28">
        <f t="shared" si="3"/>
        <v>7.4094061174320718</v>
      </c>
      <c r="K24" s="9"/>
      <c r="M24" s="6"/>
      <c r="N24" s="6"/>
      <c r="O24" s="6"/>
    </row>
    <row r="25" spans="1:15" x14ac:dyDescent="0.2">
      <c r="A25" t="s">
        <v>25</v>
      </c>
      <c r="B25" s="4">
        <f>498</f>
        <v>498</v>
      </c>
      <c r="C25" s="20">
        <f t="shared" si="0"/>
        <v>2.7961164525232622E-5</v>
      </c>
      <c r="D25" s="21">
        <f t="shared" si="1"/>
        <v>3.858640704482102E-3</v>
      </c>
      <c r="E25" s="4"/>
      <c r="F25" s="4"/>
      <c r="G25" t="s">
        <v>25</v>
      </c>
      <c r="H25" s="4">
        <v>0</v>
      </c>
      <c r="I25" s="27">
        <f>+H25/H$40</f>
        <v>0</v>
      </c>
      <c r="J25" s="28">
        <f t="shared" si="3"/>
        <v>0</v>
      </c>
      <c r="K25" s="4"/>
      <c r="M25" s="6"/>
      <c r="N25" s="6"/>
      <c r="O25" s="6"/>
    </row>
    <row r="26" spans="1:15" x14ac:dyDescent="0.2">
      <c r="A26" s="10" t="s">
        <v>26</v>
      </c>
      <c r="B26" s="11">
        <f>66996+4552197+208249-2</f>
        <v>4827440</v>
      </c>
      <c r="C26" s="20">
        <f t="shared" si="0"/>
        <v>0.27104587163792965</v>
      </c>
      <c r="D26" s="21">
        <f t="shared" si="1"/>
        <v>37.404330286034295</v>
      </c>
      <c r="E26" s="10"/>
      <c r="F26" s="10"/>
      <c r="G26" s="10" t="s">
        <v>26</v>
      </c>
      <c r="H26" s="11">
        <f>2772958+0.4</f>
        <v>2772958.4</v>
      </c>
      <c r="I26" s="27">
        <f>+H26/H$40</f>
        <v>0.13583130308289074</v>
      </c>
      <c r="J26" s="28">
        <f t="shared" si="3"/>
        <v>22.27633370559408</v>
      </c>
      <c r="K26" s="4"/>
      <c r="M26" s="6"/>
      <c r="N26" s="6"/>
      <c r="O26" s="6"/>
    </row>
    <row r="27" spans="1:15" x14ac:dyDescent="0.2">
      <c r="A27" t="s">
        <v>27</v>
      </c>
      <c r="B27" s="9">
        <f>30000+457717+3779417</f>
        <v>4267134</v>
      </c>
      <c r="C27" s="20">
        <f t="shared" si="0"/>
        <v>0.23958641731970678</v>
      </c>
      <c r="D27" s="21">
        <f t="shared" si="1"/>
        <v>33.062925590119534</v>
      </c>
      <c r="E27" s="9"/>
      <c r="F27" s="9"/>
      <c r="G27" t="s">
        <v>27</v>
      </c>
      <c r="H27" s="4">
        <f>5642824+0.4</f>
        <v>5642824.4000000004</v>
      </c>
      <c r="I27" s="27">
        <f t="shared" ref="I27:I39" si="4">+H27/H$40</f>
        <v>0.2764095528154808</v>
      </c>
      <c r="J27" s="28">
        <f t="shared" si="3"/>
        <v>45.331166661738848</v>
      </c>
      <c r="K27" s="4"/>
      <c r="M27" s="6"/>
      <c r="N27" s="6"/>
      <c r="O27" s="6"/>
    </row>
    <row r="28" spans="1:15" x14ac:dyDescent="0.2">
      <c r="A28" t="s">
        <v>28</v>
      </c>
      <c r="B28" s="4">
        <f>34286</f>
        <v>34286</v>
      </c>
      <c r="C28" s="20">
        <f t="shared" si="0"/>
        <v>1.9250531865705335E-3</v>
      </c>
      <c r="D28" s="21">
        <f t="shared" si="1"/>
        <v>0.26565733974673361</v>
      </c>
      <c r="E28" s="4"/>
      <c r="F28" s="4"/>
      <c r="G28" t="s">
        <v>28</v>
      </c>
      <c r="H28" s="4">
        <f>165015</f>
        <v>165015</v>
      </c>
      <c r="I28" s="27">
        <f t="shared" si="4"/>
        <v>8.0831369407572858E-3</v>
      </c>
      <c r="J28" s="28">
        <f t="shared" si="3"/>
        <v>1.3256344582841948</v>
      </c>
      <c r="K28" s="9"/>
      <c r="M28" s="6"/>
      <c r="N28" s="6"/>
      <c r="O28" s="6"/>
    </row>
    <row r="29" spans="1:15" x14ac:dyDescent="0.2">
      <c r="A29" t="s">
        <v>29</v>
      </c>
      <c r="B29" s="4">
        <f>32004</f>
        <v>32004</v>
      </c>
      <c r="C29" s="20">
        <f t="shared" si="0"/>
        <v>1.7969259226215759E-3</v>
      </c>
      <c r="D29" s="21">
        <f t="shared" si="1"/>
        <v>0.24797577732177747</v>
      </c>
      <c r="E29" s="4"/>
      <c r="F29" s="4"/>
      <c r="G29" t="s">
        <v>29</v>
      </c>
      <c r="H29" s="4">
        <v>0</v>
      </c>
      <c r="I29" s="27">
        <f t="shared" si="4"/>
        <v>0</v>
      </c>
      <c r="J29" s="28">
        <f t="shared" si="3"/>
        <v>0</v>
      </c>
      <c r="K29" s="9"/>
    </row>
    <row r="30" spans="1:15" x14ac:dyDescent="0.2">
      <c r="A30" t="s">
        <v>30</v>
      </c>
      <c r="B30" s="4">
        <f>9000+134730+16825</f>
        <v>160555</v>
      </c>
      <c r="C30" s="20">
        <f t="shared" si="0"/>
        <v>9.0146682135516538E-3</v>
      </c>
      <c r="D30" s="21">
        <f t="shared" si="1"/>
        <v>1.2440242134701283</v>
      </c>
      <c r="E30" s="4"/>
      <c r="F30" s="4"/>
      <c r="G30" t="s">
        <v>30</v>
      </c>
      <c r="H30" s="9">
        <f>195323</f>
        <v>195323</v>
      </c>
      <c r="I30" s="27">
        <f t="shared" si="4"/>
        <v>9.5677517600189985E-3</v>
      </c>
      <c r="J30" s="28">
        <f t="shared" si="3"/>
        <v>1.5691112886431158</v>
      </c>
      <c r="K30" s="4"/>
    </row>
    <row r="31" spans="1:15" x14ac:dyDescent="0.2">
      <c r="A31" t="s">
        <v>31</v>
      </c>
      <c r="B31" s="4">
        <f>12000</f>
        <v>12000</v>
      </c>
      <c r="C31" s="20">
        <f t="shared" si="0"/>
        <v>6.7376300060801501E-4</v>
      </c>
      <c r="D31" s="21">
        <f t="shared" si="1"/>
        <v>9.2979294083906067E-2</v>
      </c>
      <c r="E31" s="7"/>
      <c r="F31" s="7"/>
      <c r="G31" t="s">
        <v>31</v>
      </c>
      <c r="H31" s="4">
        <v>0</v>
      </c>
      <c r="I31" s="27">
        <f t="shared" si="4"/>
        <v>0</v>
      </c>
      <c r="J31" s="28">
        <f t="shared" si="3"/>
        <v>0</v>
      </c>
      <c r="K31" s="4"/>
    </row>
    <row r="32" spans="1:15" x14ac:dyDescent="0.2">
      <c r="A32" t="s">
        <v>32</v>
      </c>
      <c r="B32" s="4">
        <f>3996</f>
        <v>3996</v>
      </c>
      <c r="C32" s="20">
        <f t="shared" si="0"/>
        <v>2.2436307920246898E-4</v>
      </c>
      <c r="D32" s="21">
        <f>+C32*D$6</f>
        <v>3.0962104929940719E-2</v>
      </c>
      <c r="E32" s="4"/>
      <c r="F32" s="4"/>
      <c r="G32" t="s">
        <v>32</v>
      </c>
      <c r="H32" s="4">
        <v>0</v>
      </c>
      <c r="I32" s="27">
        <f t="shared" si="4"/>
        <v>0</v>
      </c>
      <c r="J32" s="28">
        <f t="shared" si="3"/>
        <v>0</v>
      </c>
      <c r="K32" s="9"/>
    </row>
    <row r="33" spans="1:11" x14ac:dyDescent="0.2">
      <c r="A33" t="s">
        <v>33</v>
      </c>
      <c r="B33" s="4">
        <f>14004</f>
        <v>14004</v>
      </c>
      <c r="C33" s="20">
        <f t="shared" si="0"/>
        <v>7.8628142170955346E-4</v>
      </c>
      <c r="D33" s="21">
        <f t="shared" si="1"/>
        <v>0.10850683619591837</v>
      </c>
      <c r="E33" s="4"/>
      <c r="F33" s="4"/>
      <c r="G33" t="s">
        <v>33</v>
      </c>
      <c r="H33" s="4">
        <v>0</v>
      </c>
      <c r="I33" s="27">
        <f t="shared" si="4"/>
        <v>0</v>
      </c>
      <c r="J33" s="28">
        <f t="shared" si="3"/>
        <v>0</v>
      </c>
      <c r="K33" s="9"/>
    </row>
    <row r="34" spans="1:11" x14ac:dyDescent="0.2">
      <c r="A34" t="s">
        <v>34</v>
      </c>
      <c r="B34" s="4">
        <f>14004+59136</f>
        <v>73140</v>
      </c>
      <c r="C34" s="20">
        <f>+B34/B$40+0.002</f>
        <v>6.1065854887058513E-3</v>
      </c>
      <c r="D34" s="21">
        <f>+C34*D$6</f>
        <v>0.84270879744140748</v>
      </c>
      <c r="E34" s="12"/>
      <c r="F34" s="12"/>
      <c r="G34" t="s">
        <v>34</v>
      </c>
      <c r="H34" s="4">
        <v>0</v>
      </c>
      <c r="I34" s="27">
        <f t="shared" si="4"/>
        <v>0</v>
      </c>
      <c r="J34" s="28">
        <f>+I34*J$6</f>
        <v>0</v>
      </c>
      <c r="K34" s="9"/>
    </row>
    <row r="35" spans="1:11" x14ac:dyDescent="0.2">
      <c r="A35" t="s">
        <v>35</v>
      </c>
      <c r="B35" s="4">
        <f>47004</f>
        <v>47004</v>
      </c>
      <c r="C35" s="20">
        <f t="shared" si="0"/>
        <v>2.6391296733815944E-3</v>
      </c>
      <c r="D35" s="23">
        <f>+C35*D$6+0.2</f>
        <v>0.56419989492666001</v>
      </c>
      <c r="E35" s="4"/>
      <c r="F35" s="4"/>
      <c r="G35" t="s">
        <v>35</v>
      </c>
      <c r="H35" s="4">
        <v>0</v>
      </c>
      <c r="I35" s="27">
        <f t="shared" si="4"/>
        <v>0</v>
      </c>
      <c r="J35" s="28">
        <f t="shared" si="3"/>
        <v>0</v>
      </c>
    </row>
    <row r="36" spans="1:11" x14ac:dyDescent="0.2">
      <c r="A36" t="s">
        <v>36</v>
      </c>
      <c r="B36" s="4">
        <f>6996</f>
        <v>6996</v>
      </c>
      <c r="C36" s="20">
        <f t="shared" si="0"/>
        <v>3.9280382935447274E-4</v>
      </c>
      <c r="D36" s="21">
        <f t="shared" si="1"/>
        <v>5.4206928450917236E-2</v>
      </c>
      <c r="E36" s="4"/>
      <c r="F36" s="4"/>
      <c r="G36" t="s">
        <v>36</v>
      </c>
      <c r="H36" s="4">
        <v>0</v>
      </c>
      <c r="I36" s="27">
        <f t="shared" si="4"/>
        <v>0</v>
      </c>
      <c r="J36" s="28">
        <f t="shared" si="3"/>
        <v>0</v>
      </c>
    </row>
    <row r="37" spans="1:11" x14ac:dyDescent="0.2">
      <c r="A37" t="s">
        <v>37</v>
      </c>
      <c r="B37" s="4">
        <f>9000</f>
        <v>9000</v>
      </c>
      <c r="C37" s="20">
        <f t="shared" si="0"/>
        <v>5.0532225045601118E-4</v>
      </c>
      <c r="D37" s="21">
        <f t="shared" si="1"/>
        <v>6.9734470562929543E-2</v>
      </c>
      <c r="E37" s="4"/>
      <c r="F37" s="4"/>
      <c r="G37" t="s">
        <v>37</v>
      </c>
      <c r="H37" s="4">
        <v>0</v>
      </c>
      <c r="I37" s="27">
        <f t="shared" si="4"/>
        <v>0</v>
      </c>
      <c r="J37" s="28">
        <f t="shared" si="3"/>
        <v>0</v>
      </c>
    </row>
    <row r="38" spans="1:11" x14ac:dyDescent="0.2">
      <c r="A38" t="s">
        <v>38</v>
      </c>
      <c r="B38" s="4">
        <f>6000</f>
        <v>6000</v>
      </c>
      <c r="C38" s="20">
        <f t="shared" si="0"/>
        <v>3.3688150030400751E-4</v>
      </c>
      <c r="D38" s="21">
        <f t="shared" si="1"/>
        <v>4.6489647041953033E-2</v>
      </c>
      <c r="E38" s="7"/>
      <c r="F38" s="7"/>
      <c r="G38" t="s">
        <v>38</v>
      </c>
      <c r="H38" s="4">
        <v>0</v>
      </c>
      <c r="I38" s="27">
        <f t="shared" si="4"/>
        <v>0</v>
      </c>
      <c r="J38" s="28">
        <f t="shared" si="3"/>
        <v>0</v>
      </c>
    </row>
    <row r="39" spans="1:11" x14ac:dyDescent="0.2">
      <c r="A39" t="s">
        <v>39</v>
      </c>
      <c r="B39" s="13">
        <v>0</v>
      </c>
      <c r="C39" s="20">
        <f t="shared" si="0"/>
        <v>0</v>
      </c>
      <c r="D39" s="21">
        <f>+C39*D$6</f>
        <v>0</v>
      </c>
      <c r="E39" s="4"/>
      <c r="F39" s="4"/>
      <c r="G39" t="s">
        <v>39</v>
      </c>
      <c r="H39" s="13">
        <v>67966</v>
      </c>
      <c r="I39" s="27">
        <f t="shared" si="4"/>
        <v>3.3292639173136359E-3</v>
      </c>
      <c r="J39" s="28">
        <f>+I39*J$6</f>
        <v>0.5459992824394363</v>
      </c>
    </row>
    <row r="40" spans="1:11" x14ac:dyDescent="0.2">
      <c r="A40" t="s">
        <v>40</v>
      </c>
      <c r="B40" s="24">
        <f>SUM(B7:B39)</f>
        <v>17810417</v>
      </c>
      <c r="C40" s="24">
        <f>SUM(C7:C39)</f>
        <v>1.0020000000000004</v>
      </c>
      <c r="D40" s="25">
        <f>SUM(D7:D39)-0.5</f>
        <v>138.00600000000003</v>
      </c>
      <c r="E40" s="4"/>
      <c r="F40" s="4"/>
      <c r="G40" t="s">
        <v>41</v>
      </c>
      <c r="H40" s="26">
        <f>SUM(H7:H39)</f>
        <v>20414722.800000001</v>
      </c>
      <c r="I40" s="26">
        <f>SUM(I7:I39)</f>
        <v>0.99999999999999989</v>
      </c>
      <c r="J40" s="26">
        <f>SUM(J7:J39)</f>
        <v>164</v>
      </c>
    </row>
    <row r="41" spans="1:11" x14ac:dyDescent="0.2">
      <c r="B41" s="4"/>
      <c r="C41" s="5"/>
      <c r="D41" s="14"/>
      <c r="E41" s="4"/>
      <c r="F41" s="4"/>
      <c r="H41" s="4"/>
      <c r="I41" s="5"/>
      <c r="J41" s="14"/>
    </row>
    <row r="42" spans="1:11" x14ac:dyDescent="0.2">
      <c r="A42" s="15" t="s">
        <v>42</v>
      </c>
      <c r="B42" s="6"/>
      <c r="D42" s="14">
        <f>+D40-D26</f>
        <v>100.60166971396573</v>
      </c>
      <c r="G42" s="15" t="s">
        <v>42</v>
      </c>
      <c r="H42" s="6"/>
      <c r="J42" s="14">
        <f>J40-J26</f>
        <v>141.72366629440592</v>
      </c>
    </row>
    <row r="43" spans="1:11" x14ac:dyDescent="0.2">
      <c r="A43" s="15" t="s">
        <v>43</v>
      </c>
      <c r="D43" s="14">
        <f>D26</f>
        <v>37.404330286034295</v>
      </c>
      <c r="G43" s="15" t="s">
        <v>43</v>
      </c>
      <c r="J43" s="14">
        <f>J26</f>
        <v>22.27633370559408</v>
      </c>
    </row>
    <row r="46" spans="1:11" x14ac:dyDescent="0.2">
      <c r="A46" s="6" t="s">
        <v>44</v>
      </c>
      <c r="B46" s="6"/>
      <c r="H46" s="6"/>
    </row>
    <row r="47" spans="1:11" x14ac:dyDescent="0.2">
      <c r="A47" t="s">
        <v>45</v>
      </c>
      <c r="B47" s="16"/>
      <c r="H47" s="16"/>
    </row>
    <row r="49" spans="1:1" x14ac:dyDescent="0.2">
      <c r="A49" s="17"/>
    </row>
    <row r="50" spans="1:1" x14ac:dyDescent="0.2">
      <c r="A50" s="18"/>
    </row>
    <row r="51" spans="1:1" x14ac:dyDescent="0.2">
      <c r="A51" s="19"/>
    </row>
    <row r="52" spans="1:1" x14ac:dyDescent="0.2">
      <c r="A52" s="19"/>
    </row>
    <row r="53" spans="1:1" x14ac:dyDescent="0.2">
      <c r="A53" s="19"/>
    </row>
    <row r="54" spans="1:1" x14ac:dyDescent="0.2">
      <c r="A54" s="19"/>
    </row>
  </sheetData>
  <mergeCells count="4">
    <mergeCell ref="A1:J1"/>
    <mergeCell ref="A2:J2"/>
    <mergeCell ref="A4:D4"/>
    <mergeCell ref="G4:J4"/>
  </mergeCells>
  <phoneticPr fontId="0" type="noConversion"/>
  <pageMargins left="0.75" right="0.75" top="1" bottom="1" header="0.5" footer="0.5"/>
  <headerFooter alignWithMargin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>Enron Corp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Edie Leschber</dc:creator>
  <cp:lastModifiedBy>wsdou</cp:lastModifiedBy>
  <dcterms:created xsi:type="dcterms:W3CDTF">2001-09-26T14:00:13Z</dcterms:created>
  <dcterms:modified xsi:type="dcterms:W3CDTF">2016-01-06T06:46:01Z</dcterms:modified>
</cp:coreProperties>
</file>