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research\spreadsheets\experiment\tse\recall-enron\groundtruth\a\"/>
    </mc:Choice>
  </mc:AlternateContent>
  <bookViews>
    <workbookView xWindow="360" yWindow="90" windowWidth="5280" windowHeight="5385" tabRatio="891" activeTab="2"/>
  </bookViews>
  <sheets>
    <sheet name="Graphs" sheetId="4" r:id="rId1"/>
    <sheet name="PNV" sheetId="2" r:id="rId2"/>
    <sheet name="9-2001 Value" sheetId="11" r:id="rId3"/>
  </sheets>
  <externalReferences>
    <externalReference r:id="rId4"/>
  </externalReferences>
  <definedNames>
    <definedName name="_xlnm.Print_Area" localSheetId="0">Graphs!$A$1:$K$22</definedName>
  </definedNames>
  <calcPr calcId="152511"/>
</workbook>
</file>

<file path=xl/calcChain.xml><?xml version="1.0" encoding="utf-8"?>
<calcChain xmlns="http://schemas.openxmlformats.org/spreadsheetml/2006/main">
  <c r="C13" i="11" l="1"/>
  <c r="F13" i="11" s="1"/>
  <c r="F16" i="11"/>
  <c r="F17" i="11"/>
  <c r="F18" i="11"/>
  <c r="F19" i="11"/>
  <c r="C22" i="11"/>
  <c r="C24" i="11"/>
  <c r="Y32" i="4"/>
  <c r="X32" i="4"/>
  <c r="W32" i="4"/>
  <c r="V32" i="4"/>
  <c r="U32" i="4"/>
  <c r="T32" i="4"/>
  <c r="S32" i="4"/>
  <c r="R32" i="4"/>
  <c r="Q32" i="4"/>
  <c r="P32" i="4"/>
  <c r="O32" i="4"/>
  <c r="N32" i="4"/>
  <c r="M32" i="4"/>
  <c r="L32" i="4"/>
  <c r="K32" i="4"/>
  <c r="J32" i="4"/>
  <c r="I32" i="4"/>
  <c r="H32" i="4"/>
  <c r="G32" i="4"/>
  <c r="F32" i="4"/>
  <c r="E32" i="4"/>
  <c r="D32" i="4"/>
  <c r="Y29" i="4"/>
  <c r="Y25" i="4"/>
  <c r="X29" i="4"/>
  <c r="X25" i="4"/>
  <c r="X30" i="4" s="1"/>
  <c r="W29" i="4"/>
  <c r="W25" i="4"/>
  <c r="W30" i="4" s="1"/>
  <c r="V29" i="4"/>
  <c r="V25" i="4"/>
  <c r="U29" i="4"/>
  <c r="U25" i="4"/>
  <c r="T29" i="4"/>
  <c r="T25" i="4"/>
  <c r="S29" i="4"/>
  <c r="S25" i="4"/>
  <c r="S30" i="4"/>
  <c r="R29" i="4"/>
  <c r="R25" i="4"/>
  <c r="Q29" i="4"/>
  <c r="Q30" i="4" s="1"/>
  <c r="Q25" i="4"/>
  <c r="P29" i="4"/>
  <c r="P25" i="4"/>
  <c r="O29" i="4"/>
  <c r="O30" i="4" s="1"/>
  <c r="O25" i="4"/>
  <c r="N29" i="4"/>
  <c r="N25" i="4"/>
  <c r="N30" i="4" s="1"/>
  <c r="M29" i="4"/>
  <c r="M25" i="4"/>
  <c r="L29" i="4"/>
  <c r="L25" i="4"/>
  <c r="L30" i="4" s="1"/>
  <c r="K29" i="4"/>
  <c r="K25" i="4"/>
  <c r="K30" i="4" s="1"/>
  <c r="J29" i="4"/>
  <c r="I29" i="4"/>
  <c r="I25" i="4"/>
  <c r="I30" i="4" s="1"/>
  <c r="H29" i="4"/>
  <c r="G29" i="4"/>
  <c r="F29" i="4"/>
  <c r="E29" i="4"/>
  <c r="D29" i="4"/>
  <c r="I22" i="4"/>
  <c r="I26" i="4" s="1"/>
  <c r="I27" i="4" s="1"/>
  <c r="H22" i="4"/>
  <c r="H23" i="4"/>
  <c r="J25" i="4"/>
  <c r="H25" i="4"/>
  <c r="G25" i="4"/>
  <c r="G30" i="4" s="1"/>
  <c r="F25" i="4"/>
  <c r="F30" i="4" s="1"/>
  <c r="E25" i="4"/>
  <c r="D25" i="4"/>
  <c r="D30" i="4" s="1"/>
  <c r="Y23" i="4"/>
  <c r="Y27" i="4" s="1"/>
  <c r="X23" i="4"/>
  <c r="W23" i="4"/>
  <c r="W27" i="4" s="1"/>
  <c r="V23" i="4"/>
  <c r="V27" i="4" s="1"/>
  <c r="U23" i="4"/>
  <c r="U27" i="4" s="1"/>
  <c r="T23" i="4"/>
  <c r="T27" i="4" s="1"/>
  <c r="S23" i="4"/>
  <c r="S27" i="4" s="1"/>
  <c r="R23" i="4"/>
  <c r="R27" i="4" s="1"/>
  <c r="Q23" i="4"/>
  <c r="Q27" i="4" s="1"/>
  <c r="P23" i="4"/>
  <c r="O23" i="4"/>
  <c r="O27" i="4" s="1"/>
  <c r="N23" i="4"/>
  <c r="N27" i="4" s="1"/>
  <c r="M23" i="4"/>
  <c r="L23" i="4"/>
  <c r="L27" i="4" s="1"/>
  <c r="K23" i="4"/>
  <c r="K27" i="4" s="1"/>
  <c r="J23" i="4"/>
  <c r="I23" i="4"/>
  <c r="G23" i="4"/>
  <c r="F23" i="4"/>
  <c r="E23" i="4"/>
  <c r="D23" i="4"/>
  <c r="Y22" i="4"/>
  <c r="Y26" i="4" s="1"/>
  <c r="X22" i="4"/>
  <c r="W22" i="4"/>
  <c r="V22" i="4"/>
  <c r="U22" i="4"/>
  <c r="U26" i="4" s="1"/>
  <c r="T22" i="4"/>
  <c r="S22" i="4"/>
  <c r="S26" i="4" s="1"/>
  <c r="R22" i="4"/>
  <c r="Q22" i="4"/>
  <c r="Q26" i="4" s="1"/>
  <c r="P22" i="4"/>
  <c r="O22" i="4"/>
  <c r="N22" i="4"/>
  <c r="N26" i="4" s="1"/>
  <c r="M22" i="4"/>
  <c r="L22" i="4"/>
  <c r="L26" i="4" s="1"/>
  <c r="K22" i="4"/>
  <c r="K26" i="4" s="1"/>
  <c r="J22" i="4"/>
  <c r="J26" i="4" s="1"/>
  <c r="J27" i="4" s="1"/>
  <c r="G22" i="4"/>
  <c r="F22" i="4"/>
  <c r="E22" i="4"/>
  <c r="D22" i="4"/>
  <c r="D11" i="2"/>
  <c r="E11" i="2"/>
  <c r="J18" i="2"/>
  <c r="I18" i="2"/>
  <c r="H18" i="2"/>
  <c r="J17" i="2"/>
  <c r="I17" i="2"/>
  <c r="H17" i="2"/>
  <c r="J16" i="2"/>
  <c r="I16" i="2"/>
  <c r="H16" i="2"/>
  <c r="J15" i="2"/>
  <c r="I15" i="2"/>
  <c r="H15" i="2"/>
  <c r="G14" i="2"/>
  <c r="J14" i="2" s="1"/>
  <c r="F14" i="2"/>
  <c r="I14" i="2"/>
  <c r="E14" i="2"/>
  <c r="H14" i="2" s="1"/>
  <c r="G13" i="2"/>
  <c r="J13" i="2" s="1"/>
  <c r="F13" i="2"/>
  <c r="I13" i="2" s="1"/>
  <c r="E13" i="2"/>
  <c r="H13" i="2" s="1"/>
  <c r="G12" i="2"/>
  <c r="J12" i="2" s="1"/>
  <c r="F12" i="2"/>
  <c r="I12" i="2"/>
  <c r="E12" i="2"/>
  <c r="H12" i="2" s="1"/>
  <c r="G11" i="2"/>
  <c r="J11" i="2"/>
  <c r="F11" i="2"/>
  <c r="I11" i="2" s="1"/>
  <c r="G10" i="2"/>
  <c r="J10" i="2" s="1"/>
  <c r="F10" i="2"/>
  <c r="I10" i="2" s="1"/>
  <c r="D10" i="2"/>
  <c r="E10" i="2"/>
  <c r="G9" i="2"/>
  <c r="J9" i="2" s="1"/>
  <c r="F9" i="2"/>
  <c r="I9" i="2"/>
  <c r="D9" i="2"/>
  <c r="E9" i="2"/>
  <c r="H9" i="2"/>
  <c r="G8" i="2"/>
  <c r="J8" i="2" s="1"/>
  <c r="F8" i="2"/>
  <c r="I8" i="2" s="1"/>
  <c r="D8" i="2"/>
  <c r="H8" i="2" s="1"/>
  <c r="E8" i="2"/>
  <c r="G7" i="2"/>
  <c r="J7" i="2" s="1"/>
  <c r="F7" i="2"/>
  <c r="I7" i="2" s="1"/>
  <c r="D7" i="2"/>
  <c r="E7" i="2"/>
  <c r="G6" i="2"/>
  <c r="J6" i="2"/>
  <c r="F6" i="2"/>
  <c r="I6" i="2" s="1"/>
  <c r="D6" i="2"/>
  <c r="E6" i="2"/>
  <c r="H6" i="2"/>
  <c r="D5" i="2"/>
  <c r="H11" i="2" l="1"/>
  <c r="H7" i="2"/>
  <c r="H10" i="2"/>
  <c r="E30" i="4"/>
  <c r="T30" i="4"/>
  <c r="V30" i="4"/>
  <c r="Y30" i="4"/>
  <c r="O26" i="4"/>
  <c r="J30" i="4"/>
  <c r="U30" i="4"/>
  <c r="C25" i="11"/>
  <c r="W26" i="4"/>
  <c r="D22" i="11"/>
  <c r="M27" i="4"/>
  <c r="M30" i="4"/>
  <c r="M26" i="4"/>
  <c r="P27" i="4"/>
  <c r="P26" i="4"/>
  <c r="P30" i="4"/>
  <c r="D23" i="11"/>
  <c r="D19" i="11"/>
  <c r="D25" i="11"/>
  <c r="D21" i="11"/>
  <c r="D17" i="11"/>
  <c r="D20" i="11"/>
  <c r="D16" i="11"/>
  <c r="D18" i="11"/>
  <c r="R26" i="4"/>
  <c r="F24" i="11"/>
  <c r="D24" i="11"/>
  <c r="H30" i="4"/>
  <c r="H26" i="4"/>
  <c r="H27" i="4" s="1"/>
  <c r="X27" i="4"/>
  <c r="X26" i="4"/>
  <c r="T26" i="4"/>
  <c r="R30" i="4"/>
  <c r="C26" i="11"/>
  <c r="F20" i="11" s="1"/>
  <c r="F22" i="11" s="1"/>
  <c r="V26" i="4"/>
  <c r="F25" i="11" l="1"/>
  <c r="G22" i="11"/>
  <c r="G24" i="11"/>
  <c r="G20" i="11"/>
  <c r="C6" i="11" l="1"/>
  <c r="G23" i="11"/>
  <c r="G19" i="11"/>
  <c r="G18" i="11"/>
  <c r="G25" i="11"/>
  <c r="G21" i="11"/>
  <c r="G17" i="11"/>
  <c r="G16" i="11"/>
  <c r="F26" i="11"/>
</calcChain>
</file>

<file path=xl/sharedStrings.xml><?xml version="1.0" encoding="utf-8"?>
<sst xmlns="http://schemas.openxmlformats.org/spreadsheetml/2006/main" count="98" uniqueCount="81">
  <si>
    <t>4Q00</t>
  </si>
  <si>
    <t>3Q00</t>
  </si>
  <si>
    <t>2Q00</t>
  </si>
  <si>
    <t>1Q00</t>
  </si>
  <si>
    <t>4Q99</t>
  </si>
  <si>
    <t>1Q99</t>
  </si>
  <si>
    <t>2Q99</t>
  </si>
  <si>
    <t>3Q99</t>
  </si>
  <si>
    <t>4Q98</t>
  </si>
  <si>
    <t>3Q98</t>
  </si>
  <si>
    <t>2Q98</t>
  </si>
  <si>
    <t>1Q98</t>
  </si>
  <si>
    <t>Closing</t>
  </si>
  <si>
    <t>Price</t>
  </si>
  <si>
    <t>Shares</t>
  </si>
  <si>
    <t>Outstanding</t>
  </si>
  <si>
    <t>Market</t>
  </si>
  <si>
    <t>Capitalization</t>
  </si>
  <si>
    <t>Revenues</t>
  </si>
  <si>
    <t>4 x ttm</t>
  </si>
  <si>
    <t>Earnings</t>
  </si>
  <si>
    <t>EBITDA</t>
  </si>
  <si>
    <t>1Q01</t>
  </si>
  <si>
    <t>($M)</t>
  </si>
  <si>
    <t>(M)</t>
  </si>
  <si>
    <t>Price to</t>
  </si>
  <si>
    <t>Sales</t>
  </si>
  <si>
    <t>IPO</t>
  </si>
  <si>
    <t>PNV.net (PNVN)</t>
  </si>
  <si>
    <t>Income</t>
  </si>
  <si>
    <t>Discount</t>
  </si>
  <si>
    <t>Shares Outstanding (M)</t>
  </si>
  <si>
    <t>Comparable Transaction Analysis</t>
  </si>
  <si>
    <t>Comparable Public Company Analysis</t>
  </si>
  <si>
    <t>4Q01</t>
  </si>
  <si>
    <t>3Q01</t>
  </si>
  <si>
    <t>2Q01</t>
  </si>
  <si>
    <t>PRE-MONEY</t>
  </si>
  <si>
    <t>POST-MONEY</t>
  </si>
  <si>
    <t>Average Valuation</t>
  </si>
  <si>
    <t>New Equity</t>
  </si>
  <si>
    <t>Discounted Average Valuation</t>
  </si>
  <si>
    <t>Options &amp; Warrants</t>
  </si>
  <si>
    <t>Fully Diluted Shares</t>
  </si>
  <si>
    <t>Price Per Fully Diluted Share</t>
  </si>
  <si>
    <t>Founders</t>
  </si>
  <si>
    <t>Seed Investors</t>
  </si>
  <si>
    <t>Key Employees</t>
  </si>
  <si>
    <t>1st Round Investors</t>
  </si>
  <si>
    <t>2nd Round Investors</t>
  </si>
  <si>
    <t>Public Round</t>
  </si>
  <si>
    <t>Common Shares</t>
  </si>
  <si>
    <t>Total Common Shares Outstanding</t>
  </si>
  <si>
    <t>Total Prefered Shares Outstanding</t>
  </si>
  <si>
    <t>Valuation Technique</t>
  </si>
  <si>
    <t>Discounted Cash Flow Valuation</t>
  </si>
  <si>
    <t>nm</t>
  </si>
  <si>
    <t>1Q02</t>
  </si>
  <si>
    <t>2Q02</t>
  </si>
  <si>
    <t>3Q02</t>
  </si>
  <si>
    <t>4Q02</t>
  </si>
  <si>
    <t>1Q03</t>
  </si>
  <si>
    <t>2Q03</t>
  </si>
  <si>
    <t>3Q03</t>
  </si>
  <si>
    <t>4Q03</t>
  </si>
  <si>
    <t>1Q04</t>
  </si>
  <si>
    <t>2Q04</t>
  </si>
  <si>
    <t>3Q04</t>
  </si>
  <si>
    <t>4Q04</t>
  </si>
  <si>
    <t>1Q05</t>
  </si>
  <si>
    <t>2Q05</t>
  </si>
  <si>
    <t>3Q05</t>
  </si>
  <si>
    <t>4Q05</t>
  </si>
  <si>
    <t>Ann. Revenues ($M)</t>
  </si>
  <si>
    <t>Ann. EBITDA ($M)</t>
  </si>
  <si>
    <t>Market Cap. ($M)</t>
  </si>
  <si>
    <t>Price to Sales</t>
  </si>
  <si>
    <t>Price to EBITDA</t>
  </si>
  <si>
    <t>Share Price</t>
  </si>
  <si>
    <t>New Equity ($M)</t>
  </si>
  <si>
    <t>IDLEAIRE 9-2001 VALUATION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</si>
</sst>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&quot;$&quot;#,##0_);[Red]\(&quot;$&quot;#,##0\)"/>
    <numFmt numFmtId="177" formatCode="&quot;$&quot;#,##0.00_);[Red]\(&quot;$&quot;#,##0.00\)"/>
    <numFmt numFmtId="178" formatCode="&quot;$&quot;#,##0.0_);[Red]\(&quot;$&quot;#,##0.0\)"/>
    <numFmt numFmtId="179" formatCode="#,##0.0\x_);[Red]\(#,##0.0\x\);"/>
    <numFmt numFmtId="180" formatCode="#,##0.0_);[Red]\(#,##0.0\)"/>
    <numFmt numFmtId="181" formatCode="0.0%"/>
    <numFmt numFmtId="182" formatCode="#,##0.0\x_);\(#,##0.0\x\);"/>
    <numFmt numFmtId="183" formatCode="#,##0_);\(#,##0\);"/>
    <numFmt numFmtId="184" formatCode="&quot;$&quot;#,##0.0;\(&quot;$&quot;#,##0.0\);"/>
  </numFmts>
  <fonts count="8">
    <font>
      <sz val="11"/>
      <name val="Times New Roman"/>
    </font>
    <font>
      <b/>
      <sz val="1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u/>
      <sz val="12"/>
      <name val="Times New Roman"/>
      <family val="1"/>
    </font>
    <font>
      <u/>
      <sz val="12"/>
      <name val="Times New Roman"/>
      <family val="1"/>
    </font>
    <font>
      <sz val="18"/>
      <name val="Times New Roman"/>
      <family val="1"/>
    </font>
    <font>
      <sz val="8"/>
      <name val="Times New Roman"/>
      <family val="1"/>
    </font>
  </fonts>
  <fills count="5">
    <fill>
      <patternFill patternType="none"/>
    </fill>
    <fill>
      <patternFill patternType="gray125"/>
    </fill>
    <fill>
      <patternFill patternType="gray0625"/>
    </fill>
    <fill>
      <patternFill patternType="solid">
        <fgColor indexed="17"/>
        <bgColor indexed="17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177" fontId="0" fillId="0" borderId="0" xfId="0" applyNumberFormat="1" applyBorder="1"/>
    <xf numFmtId="180" fontId="0" fillId="0" borderId="0" xfId="0" applyNumberFormat="1" applyBorder="1" applyAlignment="1">
      <alignment horizontal="center"/>
    </xf>
    <xf numFmtId="178" fontId="0" fillId="0" borderId="0" xfId="0" applyNumberFormat="1" applyBorder="1"/>
    <xf numFmtId="179" fontId="0" fillId="0" borderId="0" xfId="0" applyNumberFormat="1" applyBorder="1"/>
    <xf numFmtId="179" fontId="0" fillId="0" borderId="1" xfId="0" applyNumberFormat="1" applyBorder="1"/>
    <xf numFmtId="177" fontId="0" fillId="0" borderId="2" xfId="0" applyNumberFormat="1" applyBorder="1"/>
    <xf numFmtId="180" fontId="0" fillId="0" borderId="2" xfId="0" applyNumberFormat="1" applyBorder="1" applyAlignment="1">
      <alignment horizontal="center"/>
    </xf>
    <xf numFmtId="178" fontId="0" fillId="0" borderId="2" xfId="0" applyNumberFormat="1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horizontal="center"/>
    </xf>
    <xf numFmtId="0" fontId="2" fillId="2" borderId="6" xfId="0" applyFont="1" applyFill="1" applyBorder="1"/>
    <xf numFmtId="0" fontId="0" fillId="2" borderId="7" xfId="0" applyFill="1" applyBorder="1"/>
    <xf numFmtId="0" fontId="0" fillId="2" borderId="7" xfId="0" applyFill="1" applyBorder="1" applyAlignment="1">
      <alignment horizontal="center"/>
    </xf>
    <xf numFmtId="0" fontId="0" fillId="2" borderId="8" xfId="0" applyFill="1" applyBorder="1"/>
    <xf numFmtId="0" fontId="3" fillId="0" borderId="0" xfId="0" applyFont="1"/>
    <xf numFmtId="0" fontId="2" fillId="0" borderId="0" xfId="0" applyFont="1" applyAlignment="1">
      <alignment horizontal="center"/>
    </xf>
    <xf numFmtId="182" fontId="0" fillId="0" borderId="0" xfId="0" applyNumberFormat="1" applyAlignment="1">
      <alignment horizontal="center"/>
    </xf>
    <xf numFmtId="0" fontId="4" fillId="0" borderId="0" xfId="0" applyFont="1" applyAlignment="1">
      <alignment horizontal="justify"/>
    </xf>
    <xf numFmtId="0" fontId="3" fillId="0" borderId="0" xfId="0" applyFont="1" applyAlignment="1">
      <alignment horizontal="justify"/>
    </xf>
    <xf numFmtId="176" fontId="3" fillId="0" borderId="0" xfId="0" applyNumberFormat="1" applyFont="1" applyAlignment="1">
      <alignment horizontal="justify"/>
    </xf>
    <xf numFmtId="176" fontId="5" fillId="0" borderId="0" xfId="0" applyNumberFormat="1" applyFont="1" applyAlignment="1">
      <alignment horizontal="justify"/>
    </xf>
    <xf numFmtId="10" fontId="3" fillId="0" borderId="0" xfId="0" applyNumberFormat="1" applyFont="1" applyAlignment="1">
      <alignment horizontal="justify"/>
    </xf>
    <xf numFmtId="176" fontId="2" fillId="0" borderId="0" xfId="0" applyNumberFormat="1" applyFont="1" applyAlignment="1">
      <alignment horizontal="justify"/>
    </xf>
    <xf numFmtId="3" fontId="3" fillId="0" borderId="0" xfId="0" applyNumberFormat="1" applyFont="1" applyAlignment="1">
      <alignment horizontal="justify"/>
    </xf>
    <xf numFmtId="3" fontId="5" fillId="0" borderId="0" xfId="0" applyNumberFormat="1" applyFont="1" applyAlignment="1">
      <alignment horizontal="justify"/>
    </xf>
    <xf numFmtId="3" fontId="2" fillId="0" borderId="0" xfId="0" applyNumberFormat="1" applyFont="1" applyAlignment="1">
      <alignment horizontal="justify"/>
    </xf>
    <xf numFmtId="176" fontId="3" fillId="0" borderId="0" xfId="0" applyNumberFormat="1" applyFont="1" applyAlignment="1">
      <alignment horizontal="right"/>
    </xf>
    <xf numFmtId="176" fontId="5" fillId="0" borderId="0" xfId="0" applyNumberFormat="1" applyFont="1" applyAlignment="1">
      <alignment horizontal="right"/>
    </xf>
    <xf numFmtId="176" fontId="2" fillId="0" borderId="0" xfId="0" applyNumberFormat="1" applyFont="1" applyAlignment="1">
      <alignment horizontal="right"/>
    </xf>
    <xf numFmtId="0" fontId="2" fillId="0" borderId="0" xfId="0" applyFont="1" applyAlignment="1">
      <alignment horizontal="justify"/>
    </xf>
    <xf numFmtId="183" fontId="3" fillId="0" borderId="0" xfId="0" applyNumberFormat="1" applyFont="1" applyAlignment="1">
      <alignment horizontal="right"/>
    </xf>
    <xf numFmtId="183" fontId="2" fillId="0" borderId="0" xfId="0" applyNumberFormat="1" applyFont="1" applyAlignment="1">
      <alignment horizontal="right"/>
    </xf>
    <xf numFmtId="183" fontId="5" fillId="0" borderId="0" xfId="0" applyNumberFormat="1" applyFont="1" applyAlignment="1">
      <alignment horizontal="right"/>
    </xf>
    <xf numFmtId="181" fontId="3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184" fontId="0" fillId="0" borderId="0" xfId="0" applyNumberFormat="1"/>
    <xf numFmtId="39" fontId="0" fillId="0" borderId="0" xfId="0" applyNumberFormat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179" fontId="0" fillId="4" borderId="0" xfId="0" applyNumberFormat="1" applyFill="1" applyBorder="1" applyAlignment="1">
      <alignment horizontal="center"/>
    </xf>
    <xf numFmtId="179" fontId="0" fillId="4" borderId="1" xfId="0" applyNumberFormat="1" applyFill="1" applyBorder="1" applyAlignment="1">
      <alignment horizontal="center"/>
    </xf>
    <xf numFmtId="179" fontId="0" fillId="4" borderId="2" xfId="0" applyNumberFormat="1" applyFill="1" applyBorder="1" applyAlignment="1">
      <alignment horizontal="center"/>
    </xf>
    <xf numFmtId="179" fontId="0" fillId="4" borderId="3" xfId="0" applyNumberFormat="1" applyFill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77" fontId="3" fillId="4" borderId="0" xfId="0" applyNumberFormat="1" applyFont="1" applyFill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/>
              <a:t>IdleAire Technologies Value Projection</a:t>
            </a:r>
          </a:p>
        </c:rich>
      </c:tx>
      <c:layout>
        <c:manualLayout>
          <c:xMode val="edge"/>
          <c:yMode val="edge"/>
          <c:x val="0.17941786279692218"/>
          <c:y val="1.52444310156930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0000679787197884"/>
          <c:y val="0.18293317218831712"/>
          <c:w val="0.40001359574395767"/>
          <c:h val="0.58843503720575341"/>
        </c:manualLayout>
      </c:layout>
      <c:barChart>
        <c:barDir val="col"/>
        <c:grouping val="clustered"/>
        <c:varyColors val="0"/>
        <c:ser>
          <c:idx val="0"/>
          <c:order val="0"/>
          <c:tx>
            <c:v>Revenues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Graphs!$D$20:$N$20</c:f>
              <c:strCache>
                <c:ptCount val="11"/>
                <c:pt idx="0">
                  <c:v>3Q00</c:v>
                </c:pt>
                <c:pt idx="1">
                  <c:v>4Q00</c:v>
                </c:pt>
                <c:pt idx="2">
                  <c:v>1Q01</c:v>
                </c:pt>
                <c:pt idx="3">
                  <c:v>2Q01</c:v>
                </c:pt>
                <c:pt idx="4">
                  <c:v>3Q01</c:v>
                </c:pt>
                <c:pt idx="5">
                  <c:v>4Q01</c:v>
                </c:pt>
                <c:pt idx="6">
                  <c:v>1Q02</c:v>
                </c:pt>
                <c:pt idx="7">
                  <c:v>2Q02</c:v>
                </c:pt>
                <c:pt idx="8">
                  <c:v>3Q02</c:v>
                </c:pt>
                <c:pt idx="9">
                  <c:v>4Q02</c:v>
                </c:pt>
                <c:pt idx="10">
                  <c:v>1Q03</c:v>
                </c:pt>
              </c:strCache>
            </c:strRef>
          </c:cat>
          <c:val>
            <c:numRef>
              <c:f>Graphs!$D$22:$N$22</c:f>
              <c:numCache>
                <c:formatCode>"$"#,##0.0;\("$"#,##0.0\);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0.106</c:v>
                </c:pt>
                <c:pt idx="5">
                  <c:v>2.4102554300000003</c:v>
                </c:pt>
                <c:pt idx="6">
                  <c:v>4.7585923235750007</c:v>
                </c:pt>
                <c:pt idx="7">
                  <c:v>14.615108516249999</c:v>
                </c:pt>
                <c:pt idx="8">
                  <c:v>39.353996656249997</c:v>
                </c:pt>
                <c:pt idx="9">
                  <c:v>64.579181941499996</c:v>
                </c:pt>
                <c:pt idx="10">
                  <c:v>106.9508626141392</c:v>
                </c:pt>
              </c:numCache>
            </c:numRef>
          </c:val>
        </c:ser>
        <c:ser>
          <c:idx val="2"/>
          <c:order val="2"/>
          <c:tx>
            <c:v>EBITDA</c:v>
          </c:tx>
          <c:spPr>
            <a:pattFill prst="pct10">
              <a:fgClr>
                <a:srgbClr xmlns:mc="http://schemas.openxmlformats.org/markup-compatibility/2006" xmlns:a14="http://schemas.microsoft.com/office/drawing/2010/main" val="FF0000" mc:Ignorable="a14" a14:legacySpreadsheetColorIndex="1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Graphs!$D$23:$N$23</c:f>
              <c:numCache>
                <c:formatCode>"$"#,##0.0;\("$"#,##0.0\);</c:formatCode>
                <c:ptCount val="11"/>
                <c:pt idx="0">
                  <c:v>-0.76561701000000004</c:v>
                </c:pt>
                <c:pt idx="1">
                  <c:v>-1.4048378699999997</c:v>
                </c:pt>
                <c:pt idx="2">
                  <c:v>-4.6115547599999998</c:v>
                </c:pt>
                <c:pt idx="3">
                  <c:v>-8.1994823999999973</c:v>
                </c:pt>
                <c:pt idx="4">
                  <c:v>-5.1783238035749992</c:v>
                </c:pt>
                <c:pt idx="5">
                  <c:v>-6.9074694152385021</c:v>
                </c:pt>
                <c:pt idx="6">
                  <c:v>-10.728825424206407</c:v>
                </c:pt>
                <c:pt idx="7">
                  <c:v>-3.9692039710234353</c:v>
                </c:pt>
                <c:pt idx="8">
                  <c:v>9.0937259022525616</c:v>
                </c:pt>
                <c:pt idx="9">
                  <c:v>17.501673487325416</c:v>
                </c:pt>
                <c:pt idx="10">
                  <c:v>42.215734300600744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7172048"/>
        <c:axId val="257172608"/>
      </c:barChart>
      <c:lineChart>
        <c:grouping val="standard"/>
        <c:varyColors val="0"/>
        <c:ser>
          <c:idx val="1"/>
          <c:order val="1"/>
          <c:tx>
            <c:v>Market Cap</c:v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FFFF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Graphs!$D$20:$N$20</c:f>
              <c:strCache>
                <c:ptCount val="11"/>
                <c:pt idx="0">
                  <c:v>3Q00</c:v>
                </c:pt>
                <c:pt idx="1">
                  <c:v>4Q00</c:v>
                </c:pt>
                <c:pt idx="2">
                  <c:v>1Q01</c:v>
                </c:pt>
                <c:pt idx="3">
                  <c:v>2Q01</c:v>
                </c:pt>
                <c:pt idx="4">
                  <c:v>3Q01</c:v>
                </c:pt>
                <c:pt idx="5">
                  <c:v>4Q01</c:v>
                </c:pt>
                <c:pt idx="6">
                  <c:v>1Q02</c:v>
                </c:pt>
                <c:pt idx="7">
                  <c:v>2Q02</c:v>
                </c:pt>
                <c:pt idx="8">
                  <c:v>3Q02</c:v>
                </c:pt>
                <c:pt idx="9">
                  <c:v>4Q02</c:v>
                </c:pt>
                <c:pt idx="10">
                  <c:v>1Q03</c:v>
                </c:pt>
              </c:strCache>
            </c:strRef>
          </c:cat>
          <c:val>
            <c:numRef>
              <c:f>Graphs!$D$25:$N$25</c:f>
              <c:numCache>
                <c:formatCode>"$"#,##0.0;\("$"#,##0.0\);</c:formatCode>
                <c:ptCount val="11"/>
                <c:pt idx="0">
                  <c:v>31.820600000000002</c:v>
                </c:pt>
                <c:pt idx="1">
                  <c:v>33.736499999999999</c:v>
                </c:pt>
                <c:pt idx="2">
                  <c:v>72</c:v>
                </c:pt>
                <c:pt idx="3">
                  <c:v>90.544599999999988</c:v>
                </c:pt>
                <c:pt idx="4">
                  <c:v>92.5</c:v>
                </c:pt>
                <c:pt idx="5">
                  <c:v>110</c:v>
                </c:pt>
                <c:pt idx="6">
                  <c:v>250</c:v>
                </c:pt>
                <c:pt idx="7">
                  <c:v>263.07195329249998</c:v>
                </c:pt>
                <c:pt idx="8">
                  <c:v>393.53996656249996</c:v>
                </c:pt>
                <c:pt idx="9">
                  <c:v>427.16783964374997</c:v>
                </c:pt>
                <c:pt idx="10">
                  <c:v>641.70517568483524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7162416"/>
        <c:axId val="327162976"/>
      </c:lineChart>
      <c:catAx>
        <c:axId val="257172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zh-CN"/>
          </a:p>
        </c:txPr>
        <c:crossAx val="25717260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257172608"/>
        <c:scaling>
          <c:orientation val="minMax"/>
          <c:max val="100"/>
          <c:min val="-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/>
                  <a:t>Annualized Sales &amp; EBITDA ($M)</a:t>
                </a:r>
              </a:p>
            </c:rich>
          </c:tx>
          <c:layout>
            <c:manualLayout>
              <c:xMode val="edge"/>
              <c:yMode val="edge"/>
              <c:x val="2.0588935075056644E-2"/>
              <c:y val="0.20427537561028744"/>
            </c:manualLayout>
          </c:layout>
          <c:overlay val="0"/>
          <c:spPr>
            <a:noFill/>
            <a:ln w="25400">
              <a:noFill/>
            </a:ln>
          </c:spPr>
        </c:title>
        <c:numFmt formatCode="&quot;$&quot;#,##0.0;\(&quot;$&quot;#,##0.0\);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zh-CN"/>
          </a:p>
        </c:txPr>
        <c:crossAx val="257172048"/>
        <c:crosses val="autoZero"/>
        <c:crossBetween val="between"/>
        <c:majorUnit val="10"/>
        <c:minorUnit val="1"/>
      </c:valAx>
      <c:catAx>
        <c:axId val="32716241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27162976"/>
        <c:crosses val="autoZero"/>
        <c:auto val="1"/>
        <c:lblAlgn val="ctr"/>
        <c:lblOffset val="100"/>
        <c:noMultiLvlLbl val="0"/>
      </c:catAx>
      <c:valAx>
        <c:axId val="327162976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 sz="8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Market Capitalization ($M)</a:t>
                </a:r>
              </a:p>
            </c:rich>
          </c:tx>
          <c:layout>
            <c:manualLayout>
              <c:xMode val="edge"/>
              <c:yMode val="edge"/>
              <c:x val="0.72649528050557022"/>
              <c:y val="0.25305755486050535"/>
            </c:manualLayout>
          </c:layout>
          <c:overlay val="0"/>
          <c:spPr>
            <a:noFill/>
            <a:ln w="25400">
              <a:noFill/>
            </a:ln>
          </c:spPr>
        </c:title>
        <c:numFmt formatCode="&quot;$&quot;#,##0.0;\(&quot;$&quot;#,##0.0\);" sourceLinked="1"/>
        <c:majorTickMark val="cross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CN"/>
          </a:p>
        </c:txPr>
        <c:crossAx val="327162416"/>
        <c:crosses val="max"/>
        <c:crossBetween val="between"/>
        <c:minorUnit val="1.3475808689381541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3.8236593710819486E-2"/>
          <c:y val="0.91466586094158553"/>
          <c:w val="0.73531910982345161"/>
          <c:h val="6.707549646904960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CN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/>
              <a:t>IdleAire Technologies Value Projection</a:t>
            </a:r>
          </a:p>
        </c:rich>
      </c:tx>
      <c:layout>
        <c:manualLayout>
          <c:xMode val="edge"/>
          <c:yMode val="edge"/>
          <c:x val="0.14535353954144437"/>
          <c:y val="3.35377482345248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5291515880211318"/>
          <c:y val="0.18903094459459435"/>
          <c:w val="0.50001617602256865"/>
          <c:h val="0.57928837859633753"/>
        </c:manualLayout>
      </c:layout>
      <c:barChart>
        <c:barDir val="col"/>
        <c:grouping val="clustered"/>
        <c:varyColors val="0"/>
        <c:ser>
          <c:idx val="1"/>
          <c:order val="1"/>
          <c:tx>
            <c:v>Share Price</c:v>
          </c:tx>
          <c:spPr>
            <a:solidFill>
              <a:srgbClr val="FF0000"/>
            </a:solidFill>
            <a:ln w="12700">
              <a:solidFill>
                <a:srgbClr val="FF0000"/>
              </a:solidFill>
              <a:prstDash val="solid"/>
            </a:ln>
          </c:spPr>
          <c:invertIfNegative val="0"/>
          <c:cat>
            <c:strRef>
              <c:f>Graphs!$D$20:$Y$20</c:f>
              <c:strCache>
                <c:ptCount val="22"/>
                <c:pt idx="0">
                  <c:v>3Q00</c:v>
                </c:pt>
                <c:pt idx="1">
                  <c:v>4Q00</c:v>
                </c:pt>
                <c:pt idx="2">
                  <c:v>1Q01</c:v>
                </c:pt>
                <c:pt idx="3">
                  <c:v>2Q01</c:v>
                </c:pt>
                <c:pt idx="4">
                  <c:v>3Q01</c:v>
                </c:pt>
                <c:pt idx="5">
                  <c:v>4Q01</c:v>
                </c:pt>
                <c:pt idx="6">
                  <c:v>1Q02</c:v>
                </c:pt>
                <c:pt idx="7">
                  <c:v>2Q02</c:v>
                </c:pt>
                <c:pt idx="8">
                  <c:v>3Q02</c:v>
                </c:pt>
                <c:pt idx="9">
                  <c:v>4Q02</c:v>
                </c:pt>
                <c:pt idx="10">
                  <c:v>1Q03</c:v>
                </c:pt>
                <c:pt idx="11">
                  <c:v>2Q03</c:v>
                </c:pt>
                <c:pt idx="12">
                  <c:v>3Q03</c:v>
                </c:pt>
                <c:pt idx="13">
                  <c:v>4Q03</c:v>
                </c:pt>
                <c:pt idx="14">
                  <c:v>1Q04</c:v>
                </c:pt>
                <c:pt idx="15">
                  <c:v>2Q04</c:v>
                </c:pt>
                <c:pt idx="16">
                  <c:v>3Q04</c:v>
                </c:pt>
                <c:pt idx="17">
                  <c:v>4Q04</c:v>
                </c:pt>
                <c:pt idx="18">
                  <c:v>1Q05</c:v>
                </c:pt>
                <c:pt idx="19">
                  <c:v>2Q05</c:v>
                </c:pt>
                <c:pt idx="20">
                  <c:v>3Q05</c:v>
                </c:pt>
                <c:pt idx="21">
                  <c:v>4Q05</c:v>
                </c:pt>
              </c:strCache>
            </c:strRef>
          </c:cat>
          <c:val>
            <c:numRef>
              <c:f>Graphs!$D$30:$Y$30</c:f>
              <c:numCache>
                <c:formatCode>General</c:formatCode>
                <c:ptCount val="22"/>
                <c:pt idx="0">
                  <c:v>0.83299999999999996</c:v>
                </c:pt>
                <c:pt idx="1">
                  <c:v>0.83258884501480745</c:v>
                </c:pt>
                <c:pt idx="2">
                  <c:v>1.5936607715974236</c:v>
                </c:pt>
                <c:pt idx="3">
                  <c:v>2</c:v>
                </c:pt>
                <c:pt idx="4">
                  <c:v>1.9870391344672347</c:v>
                </c:pt>
                <c:pt idx="5">
                  <c:v>2.3629654572042793</c:v>
                </c:pt>
                <c:pt idx="6">
                  <c:v>4.21958117357907</c:v>
                </c:pt>
                <c:pt idx="7">
                  <c:v>4.4402138456388212</c:v>
                </c:pt>
                <c:pt idx="8">
                  <c:v>6.6422953358322463</c:v>
                </c:pt>
                <c:pt idx="9">
                  <c:v>7.2098774964768415</c:v>
                </c:pt>
                <c:pt idx="10">
                  <c:v>8.7763618294116554</c:v>
                </c:pt>
                <c:pt idx="11">
                  <c:v>14.61865920519465</c:v>
                </c:pt>
                <c:pt idx="12">
                  <c:v>25.404890464078829</c:v>
                </c:pt>
                <c:pt idx="13">
                  <c:v>41.956542158399444</c:v>
                </c:pt>
                <c:pt idx="14">
                  <c:v>44.848698898043679</c:v>
                </c:pt>
                <c:pt idx="15">
                  <c:v>60.183245057932943</c:v>
                </c:pt>
                <c:pt idx="16">
                  <c:v>87.051015117787585</c:v>
                </c:pt>
                <c:pt idx="17">
                  <c:v>121.3051991052405</c:v>
                </c:pt>
                <c:pt idx="18">
                  <c:v>121.3051991052405</c:v>
                </c:pt>
                <c:pt idx="19">
                  <c:v>142.47137321680239</c:v>
                </c:pt>
                <c:pt idx="20">
                  <c:v>197.40222377316792</c:v>
                </c:pt>
                <c:pt idx="21">
                  <c:v>270.35557140031307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84930592"/>
        <c:axId val="584931152"/>
      </c:barChart>
      <c:lineChart>
        <c:grouping val="standard"/>
        <c:varyColors val="0"/>
        <c:ser>
          <c:idx val="0"/>
          <c:order val="0"/>
          <c:tx>
            <c:v>Revenues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Graphs!$D$20:$Y$20</c:f>
              <c:strCache>
                <c:ptCount val="22"/>
                <c:pt idx="0">
                  <c:v>3Q00</c:v>
                </c:pt>
                <c:pt idx="1">
                  <c:v>4Q00</c:v>
                </c:pt>
                <c:pt idx="2">
                  <c:v>1Q01</c:v>
                </c:pt>
                <c:pt idx="3">
                  <c:v>2Q01</c:v>
                </c:pt>
                <c:pt idx="4">
                  <c:v>3Q01</c:v>
                </c:pt>
                <c:pt idx="5">
                  <c:v>4Q01</c:v>
                </c:pt>
                <c:pt idx="6">
                  <c:v>1Q02</c:v>
                </c:pt>
                <c:pt idx="7">
                  <c:v>2Q02</c:v>
                </c:pt>
                <c:pt idx="8">
                  <c:v>3Q02</c:v>
                </c:pt>
                <c:pt idx="9">
                  <c:v>4Q02</c:v>
                </c:pt>
                <c:pt idx="10">
                  <c:v>1Q03</c:v>
                </c:pt>
                <c:pt idx="11">
                  <c:v>2Q03</c:v>
                </c:pt>
                <c:pt idx="12">
                  <c:v>3Q03</c:v>
                </c:pt>
                <c:pt idx="13">
                  <c:v>4Q03</c:v>
                </c:pt>
                <c:pt idx="14">
                  <c:v>1Q04</c:v>
                </c:pt>
                <c:pt idx="15">
                  <c:v>2Q04</c:v>
                </c:pt>
                <c:pt idx="16">
                  <c:v>3Q04</c:v>
                </c:pt>
                <c:pt idx="17">
                  <c:v>4Q04</c:v>
                </c:pt>
                <c:pt idx="18">
                  <c:v>1Q05</c:v>
                </c:pt>
                <c:pt idx="19">
                  <c:v>2Q05</c:v>
                </c:pt>
                <c:pt idx="20">
                  <c:v>3Q05</c:v>
                </c:pt>
                <c:pt idx="21">
                  <c:v>4Q05</c:v>
                </c:pt>
              </c:strCache>
            </c:strRef>
          </c:cat>
          <c:val>
            <c:numRef>
              <c:f>Graphs!$D$22:$Y$22</c:f>
              <c:numCache>
                <c:formatCode>"$"#,##0.0;\("$"#,##0.0\);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0.106</c:v>
                </c:pt>
                <c:pt idx="5">
                  <c:v>2.4102554300000003</c:v>
                </c:pt>
                <c:pt idx="6">
                  <c:v>4.7585923235750007</c:v>
                </c:pt>
                <c:pt idx="7">
                  <c:v>14.615108516249999</c:v>
                </c:pt>
                <c:pt idx="8">
                  <c:v>39.353996656249997</c:v>
                </c:pt>
                <c:pt idx="9">
                  <c:v>64.579181941499996</c:v>
                </c:pt>
                <c:pt idx="10">
                  <c:v>106.9508626141392</c:v>
                </c:pt>
                <c:pt idx="11">
                  <c:v>178.14650793203521</c:v>
                </c:pt>
                <c:pt idx="12">
                  <c:v>309.59012430929999</c:v>
                </c:pt>
                <c:pt idx="13">
                  <c:v>511.29254506227835</c:v>
                </c:pt>
                <c:pt idx="14">
                  <c:v>563.57780477353924</c:v>
                </c:pt>
                <c:pt idx="15">
                  <c:v>756.2748076818192</c:v>
                </c:pt>
                <c:pt idx="16">
                  <c:v>1093.9006305382679</c:v>
                </c:pt>
                <c:pt idx="17">
                  <c:v>1524.3456220383384</c:v>
                </c:pt>
                <c:pt idx="18">
                  <c:v>1450.6382602828512</c:v>
                </c:pt>
                <c:pt idx="19">
                  <c:v>1790.3240391238987</c:v>
                </c:pt>
                <c:pt idx="20">
                  <c:v>2480.5961971028278</c:v>
                </c:pt>
                <c:pt idx="21">
                  <c:v>3397.342691801714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4931712"/>
        <c:axId val="584932272"/>
      </c:lineChart>
      <c:catAx>
        <c:axId val="584930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zh-CN"/>
          </a:p>
        </c:txPr>
        <c:crossAx val="584931152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584931152"/>
        <c:scaling>
          <c:orientation val="minMax"/>
          <c:max val="28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/>
                  <a:t>Share Price</a:t>
                </a:r>
              </a:p>
            </c:rich>
          </c:tx>
          <c:layout>
            <c:manualLayout>
              <c:xMode val="edge"/>
              <c:yMode val="edge"/>
              <c:x val="4.6513132653262193E-2"/>
              <c:y val="0.3811107753923272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zh-CN"/>
          </a:p>
        </c:txPr>
        <c:crossAx val="584930592"/>
        <c:crosses val="autoZero"/>
        <c:crossBetween val="between"/>
      </c:valAx>
      <c:catAx>
        <c:axId val="5849317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84932272"/>
        <c:crosses val="autoZero"/>
        <c:auto val="1"/>
        <c:lblAlgn val="ctr"/>
        <c:lblOffset val="100"/>
        <c:noMultiLvlLbl val="0"/>
      </c:catAx>
      <c:valAx>
        <c:axId val="584932272"/>
        <c:scaling>
          <c:orientation val="minMax"/>
          <c:max val="3500"/>
        </c:scaling>
        <c:delete val="0"/>
        <c:axPos val="r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/>
                  <a:t>Annualized Revenues ($M)</a:t>
                </a:r>
              </a:p>
            </c:rich>
          </c:tx>
          <c:layout>
            <c:manualLayout>
              <c:xMode val="edge"/>
              <c:yMode val="edge"/>
              <c:x val="0.90409901594778397"/>
              <c:y val="0.25915532726678259"/>
            </c:manualLayout>
          </c:layout>
          <c:overlay val="0"/>
          <c:spPr>
            <a:noFill/>
            <a:ln w="25400">
              <a:noFill/>
            </a:ln>
          </c:spPr>
        </c:title>
        <c:numFmt formatCode="&quot;$&quot;#,##0.0;\(&quot;$&quot;#,##0.0\);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zh-CN"/>
          </a:p>
        </c:txPr>
        <c:crossAx val="584931712"/>
        <c:crosses val="max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558222295929421"/>
          <c:y val="0.91161697473844694"/>
          <c:w val="0.49420203444091082"/>
          <c:h val="6.707549646904960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CN"/>
    </a:p>
  </c:txPr>
  <c:printSettings>
    <c:headerFooter alignWithMargins="0"/>
    <c:pageMargins b="0.75" l="0.5" r="0.5" t="1" header="0.5" footer="0.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19050</xdr:rowOff>
    </xdr:from>
    <xdr:to>
      <xdr:col>5</xdr:col>
      <xdr:colOff>238125</xdr:colOff>
      <xdr:row>16</xdr:row>
      <xdr:rowOff>95250</xdr:rowOff>
    </xdr:to>
    <xdr:graphicFrame macro="">
      <xdr:nvGraphicFramePr>
        <xdr:cNvPr id="2054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257175</xdr:colOff>
      <xdr:row>0</xdr:row>
      <xdr:rowOff>0</xdr:rowOff>
    </xdr:from>
    <xdr:to>
      <xdr:col>10</xdr:col>
      <xdr:colOff>485775</xdr:colOff>
      <xdr:row>16</xdr:row>
      <xdr:rowOff>76200</xdr:rowOff>
    </xdr:to>
    <xdr:graphicFrame macro="">
      <xdr:nvGraphicFramePr>
        <xdr:cNvPr id="2055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Executives\2001\2001%20Financials\2001%20IdleAire%20Financials%204_3%20(mcrabtree%20v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es"/>
      <sheetName val="Graphs"/>
      <sheetName val="Cap Equip"/>
      <sheetName val="Facility"/>
      <sheetName val="Grants"/>
      <sheetName val="Value"/>
      <sheetName val="Ancillary Services"/>
      <sheetName val="Emission Credits"/>
      <sheetName val="Fixed Assets"/>
      <sheetName val="Assumptions"/>
      <sheetName val="Financing"/>
      <sheetName val="Units"/>
      <sheetName val="Numbers"/>
      <sheetName val="Summary"/>
      <sheetName val="Marketing"/>
      <sheetName val="Employees"/>
      <sheetName val="Unit Costs-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23">
          <cell r="G23">
            <v>629.06385750000004</v>
          </cell>
        </row>
        <row r="110">
          <cell r="U110">
            <v>0</v>
          </cell>
          <cell r="V110">
            <v>0</v>
          </cell>
          <cell r="W110">
            <v>0.106</v>
          </cell>
          <cell r="X110">
            <v>2.4102554300000003</v>
          </cell>
          <cell r="Y110">
            <v>4.7585923235750007</v>
          </cell>
          <cell r="Z110">
            <v>14.615108516249999</v>
          </cell>
          <cell r="AA110">
            <v>39.353996656249997</v>
          </cell>
          <cell r="AB110">
            <v>64.579181941499996</v>
          </cell>
          <cell r="AC110">
            <v>106.9508626141392</v>
          </cell>
          <cell r="AD110">
            <v>178.14650793203521</v>
          </cell>
          <cell r="AE110">
            <v>309.59012430929999</v>
          </cell>
          <cell r="AF110">
            <v>511.29254506227835</v>
          </cell>
          <cell r="AG110">
            <v>563.57780477353924</v>
          </cell>
          <cell r="AH110">
            <v>756.2748076818192</v>
          </cell>
          <cell r="AI110">
            <v>1093.9006305382679</v>
          </cell>
          <cell r="AJ110">
            <v>1524.3456220383384</v>
          </cell>
          <cell r="AK110">
            <v>1450.6382602828512</v>
          </cell>
          <cell r="AL110">
            <v>1790.3240391238987</v>
          </cell>
          <cell r="AM110">
            <v>2480.5961971028278</v>
          </cell>
          <cell r="AN110">
            <v>3397.342691801714</v>
          </cell>
        </row>
        <row r="113">
          <cell r="S113">
            <v>-0.76561701000000004</v>
          </cell>
          <cell r="T113">
            <v>-1.4048378699999997</v>
          </cell>
          <cell r="U113">
            <v>-4.6115547599999998</v>
          </cell>
          <cell r="V113">
            <v>-8.1994823999999973</v>
          </cell>
          <cell r="W113">
            <v>-5.1783238035749992</v>
          </cell>
          <cell r="X113">
            <v>-6.9074694152385021</v>
          </cell>
          <cell r="Y113">
            <v>-10.728825424206407</v>
          </cell>
          <cell r="Z113">
            <v>-3.9692039710234353</v>
          </cell>
          <cell r="AA113">
            <v>9.0937259022525616</v>
          </cell>
          <cell r="AB113">
            <v>17.501673487325416</v>
          </cell>
          <cell r="AC113">
            <v>42.215734300600744</v>
          </cell>
          <cell r="AD113">
            <v>86.720750463091292</v>
          </cell>
          <cell r="AE113">
            <v>172.24096305178043</v>
          </cell>
          <cell r="AF113">
            <v>289.72053118354921</v>
          </cell>
          <cell r="AG113">
            <v>290.16783739217851</v>
          </cell>
          <cell r="AH113">
            <v>415.65339563005699</v>
          </cell>
          <cell r="AI113">
            <v>659.09321038660562</v>
          </cell>
          <cell r="AJ113">
            <v>911.42577466445925</v>
          </cell>
          <cell r="AK113">
            <v>767.31138879625382</v>
          </cell>
          <cell r="AL113">
            <v>985.05681645279572</v>
          </cell>
          <cell r="AM113">
            <v>1500.521208393832</v>
          </cell>
          <cell r="AN113">
            <v>2036.0178229275682</v>
          </cell>
        </row>
        <row r="117">
          <cell r="S117">
            <v>31.820600000000002</v>
          </cell>
          <cell r="T117">
            <v>33.736499999999999</v>
          </cell>
          <cell r="U117">
            <v>72</v>
          </cell>
          <cell r="V117">
            <v>90.544599999999988</v>
          </cell>
          <cell r="W117">
            <v>92.5</v>
          </cell>
          <cell r="X117">
            <v>110</v>
          </cell>
          <cell r="Y117">
            <v>250</v>
          </cell>
          <cell r="Z117">
            <v>263.07195329249998</v>
          </cell>
          <cell r="AA117">
            <v>393.53996656249996</v>
          </cell>
          <cell r="AB117">
            <v>427.16783964374997</v>
          </cell>
          <cell r="AC117">
            <v>641.70517568483524</v>
          </cell>
          <cell r="AD117">
            <v>1068.8790475922112</v>
          </cell>
          <cell r="AE117">
            <v>1857.5407458558</v>
          </cell>
          <cell r="AF117">
            <v>3067.7552703736701</v>
          </cell>
          <cell r="AG117">
            <v>3381.4668286412352</v>
          </cell>
          <cell r="AH117">
            <v>4537.648846090915</v>
          </cell>
          <cell r="AI117">
            <v>6563.4037832296071</v>
          </cell>
          <cell r="AJ117">
            <v>9146.0737322300301</v>
          </cell>
          <cell r="AK117">
            <v>9146.0737322300301</v>
          </cell>
          <cell r="AL117">
            <v>10741.944234743392</v>
          </cell>
          <cell r="AM117">
            <v>14883.577182616966</v>
          </cell>
          <cell r="AN117">
            <v>20384.056150810284</v>
          </cell>
        </row>
        <row r="118">
          <cell r="S118">
            <v>38.200000000000003</v>
          </cell>
          <cell r="T118">
            <v>40.520000000000003</v>
          </cell>
          <cell r="U118">
            <v>45.179000000000002</v>
          </cell>
          <cell r="V118">
            <v>45.272299999999994</v>
          </cell>
          <cell r="W118">
            <v>46.551674999999996</v>
          </cell>
          <cell r="X118">
            <v>46.551674999999996</v>
          </cell>
          <cell r="Y118">
            <v>59.247586363636358</v>
          </cell>
          <cell r="Z118">
            <v>59.247586363636358</v>
          </cell>
          <cell r="AA118">
            <v>59.247586363636358</v>
          </cell>
          <cell r="AB118">
            <v>59.247586363636358</v>
          </cell>
          <cell r="AC118">
            <v>73.117447543506017</v>
          </cell>
          <cell r="AD118">
            <v>73.117447543506017</v>
          </cell>
          <cell r="AE118">
            <v>73.117447543506017</v>
          </cell>
          <cell r="AF118">
            <v>73.117447543506017</v>
          </cell>
          <cell r="AG118">
            <v>75.397211328882861</v>
          </cell>
          <cell r="AH118">
            <v>75.397211328882861</v>
          </cell>
          <cell r="AI118">
            <v>75.397211328882861</v>
          </cell>
          <cell r="AJ118">
            <v>75.397211328882861</v>
          </cell>
          <cell r="AK118">
            <v>75.397211328882861</v>
          </cell>
          <cell r="AL118">
            <v>75.397211328882861</v>
          </cell>
          <cell r="AM118">
            <v>75.397211328882861</v>
          </cell>
          <cell r="AN118">
            <v>75.397211328882861</v>
          </cell>
        </row>
        <row r="128">
          <cell r="S128">
            <v>1805</v>
          </cell>
          <cell r="T128">
            <v>250.5</v>
          </cell>
          <cell r="U128">
            <v>2180.8333299999999</v>
          </cell>
          <cell r="V128">
            <v>1669.8000000000002</v>
          </cell>
          <cell r="W128">
            <v>2558.75</v>
          </cell>
          <cell r="X128">
            <v>0</v>
          </cell>
          <cell r="Y128">
            <v>30000</v>
          </cell>
          <cell r="Z128">
            <v>0</v>
          </cell>
          <cell r="AA128">
            <v>0</v>
          </cell>
          <cell r="AB128">
            <v>0</v>
          </cell>
          <cell r="AC128">
            <v>100000</v>
          </cell>
          <cell r="AD128">
            <v>0</v>
          </cell>
          <cell r="AE128">
            <v>0</v>
          </cell>
          <cell r="AF128">
            <v>0</v>
          </cell>
          <cell r="AG128">
            <v>100000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</row>
      </sheetData>
      <sheetData sheetId="13">
        <row r="53">
          <cell r="D53">
            <v>110</v>
          </cell>
        </row>
      </sheetData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0:Y32"/>
  <sheetViews>
    <sheetView showFormulas="1" zoomScaleNormal="100" workbookViewId="0">
      <selection activeCell="D32" sqref="D32"/>
    </sheetView>
  </sheetViews>
  <sheetFormatPr defaultRowHeight="15"/>
  <sheetData>
    <row r="20" spans="1:25" ht="15.75">
      <c r="C20" s="19" t="s">
        <v>2</v>
      </c>
      <c r="D20" s="19" t="s">
        <v>1</v>
      </c>
      <c r="E20" s="19" t="s">
        <v>0</v>
      </c>
      <c r="F20" s="19" t="s">
        <v>22</v>
      </c>
      <c r="G20" s="19" t="s">
        <v>36</v>
      </c>
      <c r="H20" s="19" t="s">
        <v>35</v>
      </c>
      <c r="I20" s="19" t="s">
        <v>34</v>
      </c>
      <c r="J20" s="19" t="s">
        <v>57</v>
      </c>
      <c r="K20" s="19" t="s">
        <v>58</v>
      </c>
      <c r="L20" s="19" t="s">
        <v>59</v>
      </c>
      <c r="M20" s="19" t="s">
        <v>60</v>
      </c>
      <c r="N20" s="19" t="s">
        <v>61</v>
      </c>
      <c r="O20" s="19" t="s">
        <v>62</v>
      </c>
      <c r="P20" s="19" t="s">
        <v>63</v>
      </c>
      <c r="Q20" s="19" t="s">
        <v>64</v>
      </c>
      <c r="R20" s="19" t="s">
        <v>65</v>
      </c>
      <c r="S20" s="19" t="s">
        <v>66</v>
      </c>
      <c r="T20" s="19" t="s">
        <v>67</v>
      </c>
      <c r="U20" s="19" t="s">
        <v>68</v>
      </c>
      <c r="V20" s="19" t="s">
        <v>69</v>
      </c>
      <c r="W20" s="19" t="s">
        <v>70</v>
      </c>
      <c r="X20" s="19" t="s">
        <v>71</v>
      </c>
      <c r="Y20" s="19" t="s">
        <v>72</v>
      </c>
    </row>
    <row r="22" spans="1:25">
      <c r="A22" t="s">
        <v>73</v>
      </c>
      <c r="C22" s="39"/>
      <c r="D22" s="39">
        <f>[1]Numbers!S110</f>
        <v>0</v>
      </c>
      <c r="E22" s="39">
        <f>[1]Numbers!T110</f>
        <v>0</v>
      </c>
      <c r="F22" s="39">
        <f>[1]Numbers!U110</f>
        <v>0</v>
      </c>
      <c r="G22" s="39">
        <f>[1]Numbers!V110</f>
        <v>0</v>
      </c>
      <c r="H22" s="39">
        <f>[1]Numbers!W110</f>
        <v>0.106</v>
      </c>
      <c r="I22" s="39">
        <f>[1]Numbers!X110</f>
        <v>2.4102554300000003</v>
      </c>
      <c r="J22" s="39">
        <f>[1]Numbers!Y110</f>
        <v>4.7585923235750007</v>
      </c>
      <c r="K22" s="39">
        <f>[1]Numbers!Z110</f>
        <v>14.615108516249999</v>
      </c>
      <c r="L22" s="39">
        <f>[1]Numbers!AA110</f>
        <v>39.353996656249997</v>
      </c>
      <c r="M22" s="39">
        <f>[1]Numbers!AB110</f>
        <v>64.579181941499996</v>
      </c>
      <c r="N22" s="39">
        <f>[1]Numbers!AC110</f>
        <v>106.9508626141392</v>
      </c>
      <c r="O22" s="39">
        <f>[1]Numbers!AD110</f>
        <v>178.14650793203521</v>
      </c>
      <c r="P22" s="39">
        <f>[1]Numbers!AE110</f>
        <v>309.59012430929999</v>
      </c>
      <c r="Q22" s="39">
        <f>[1]Numbers!AF110</f>
        <v>511.29254506227835</v>
      </c>
      <c r="R22" s="39">
        <f>[1]Numbers!AG110</f>
        <v>563.57780477353924</v>
      </c>
      <c r="S22" s="39">
        <f>[1]Numbers!AH110</f>
        <v>756.2748076818192</v>
      </c>
      <c r="T22" s="39">
        <f>[1]Numbers!AI110</f>
        <v>1093.9006305382679</v>
      </c>
      <c r="U22" s="39">
        <f>[1]Numbers!AJ110</f>
        <v>1524.3456220383384</v>
      </c>
      <c r="V22" s="39">
        <f>[1]Numbers!AK110</f>
        <v>1450.6382602828512</v>
      </c>
      <c r="W22" s="39">
        <f>[1]Numbers!AL110</f>
        <v>1790.3240391238987</v>
      </c>
      <c r="X22" s="39">
        <f>[1]Numbers!AM110</f>
        <v>2480.5961971028278</v>
      </c>
      <c r="Y22" s="39">
        <f>[1]Numbers!AN110</f>
        <v>3397.342691801714</v>
      </c>
    </row>
    <row r="23" spans="1:25">
      <c r="A23" t="s">
        <v>74</v>
      </c>
      <c r="D23" s="39">
        <f>[1]Numbers!S113</f>
        <v>-0.76561701000000004</v>
      </c>
      <c r="E23" s="39">
        <f>[1]Numbers!T113</f>
        <v>-1.4048378699999997</v>
      </c>
      <c r="F23" s="39">
        <f>[1]Numbers!U113</f>
        <v>-4.6115547599999998</v>
      </c>
      <c r="G23" s="39">
        <f>[1]Numbers!V113</f>
        <v>-8.1994823999999973</v>
      </c>
      <c r="H23" s="39">
        <f>[1]Numbers!W113</f>
        <v>-5.1783238035749992</v>
      </c>
      <c r="I23" s="39">
        <f>[1]Numbers!X113</f>
        <v>-6.9074694152385021</v>
      </c>
      <c r="J23" s="39">
        <f>[1]Numbers!Y113</f>
        <v>-10.728825424206407</v>
      </c>
      <c r="K23" s="39">
        <f>[1]Numbers!Z113</f>
        <v>-3.9692039710234353</v>
      </c>
      <c r="L23" s="39">
        <f>[1]Numbers!AA113</f>
        <v>9.0937259022525616</v>
      </c>
      <c r="M23" s="39">
        <f>[1]Numbers!AB113</f>
        <v>17.501673487325416</v>
      </c>
      <c r="N23" s="39">
        <f>[1]Numbers!AC113</f>
        <v>42.215734300600744</v>
      </c>
      <c r="O23" s="39">
        <f>[1]Numbers!AD113</f>
        <v>86.720750463091292</v>
      </c>
      <c r="P23" s="39">
        <f>[1]Numbers!AE113</f>
        <v>172.24096305178043</v>
      </c>
      <c r="Q23" s="39">
        <f>[1]Numbers!AF113</f>
        <v>289.72053118354921</v>
      </c>
      <c r="R23" s="39">
        <f>[1]Numbers!AG113</f>
        <v>290.16783739217851</v>
      </c>
      <c r="S23" s="39">
        <f>[1]Numbers!AH113</f>
        <v>415.65339563005699</v>
      </c>
      <c r="T23" s="39">
        <f>[1]Numbers!AI113</f>
        <v>659.09321038660562</v>
      </c>
      <c r="U23" s="39">
        <f>[1]Numbers!AJ113</f>
        <v>911.42577466445925</v>
      </c>
      <c r="V23" s="39">
        <f>[1]Numbers!AK113</f>
        <v>767.31138879625382</v>
      </c>
      <c r="W23" s="39">
        <f>[1]Numbers!AL113</f>
        <v>985.05681645279572</v>
      </c>
      <c r="X23" s="39">
        <f>[1]Numbers!AM113</f>
        <v>1500.521208393832</v>
      </c>
      <c r="Y23" s="39">
        <f>[1]Numbers!AN113</f>
        <v>2036.0178229275682</v>
      </c>
    </row>
    <row r="25" spans="1:25">
      <c r="A25" t="s">
        <v>75</v>
      </c>
      <c r="D25" s="39">
        <f>[1]Numbers!S117</f>
        <v>31.820600000000002</v>
      </c>
      <c r="E25" s="39">
        <f>[1]Numbers!T117</f>
        <v>33.736499999999999</v>
      </c>
      <c r="F25" s="39">
        <f>[1]Numbers!U117</f>
        <v>72</v>
      </c>
      <c r="G25" s="39">
        <f>[1]Numbers!V117</f>
        <v>90.544599999999988</v>
      </c>
      <c r="H25" s="39">
        <f>[1]Numbers!W117</f>
        <v>92.5</v>
      </c>
      <c r="I25" s="39">
        <f>[1]Numbers!X117</f>
        <v>110</v>
      </c>
      <c r="J25" s="39">
        <f>[1]Numbers!Y117</f>
        <v>250</v>
      </c>
      <c r="K25" s="39">
        <f>[1]Numbers!Z117</f>
        <v>263.07195329249998</v>
      </c>
      <c r="L25" s="39">
        <f>[1]Numbers!AA117</f>
        <v>393.53996656249996</v>
      </c>
      <c r="M25" s="39">
        <f>[1]Numbers!AB117</f>
        <v>427.16783964374997</v>
      </c>
      <c r="N25" s="39">
        <f>[1]Numbers!AC117</f>
        <v>641.70517568483524</v>
      </c>
      <c r="O25" s="39">
        <f>[1]Numbers!AD117</f>
        <v>1068.8790475922112</v>
      </c>
      <c r="P25" s="39">
        <f>[1]Numbers!AE117</f>
        <v>1857.5407458558</v>
      </c>
      <c r="Q25" s="39">
        <f>[1]Numbers!AF117</f>
        <v>3067.7552703736701</v>
      </c>
      <c r="R25" s="39">
        <f>[1]Numbers!AG117</f>
        <v>3381.4668286412352</v>
      </c>
      <c r="S25" s="39">
        <f>[1]Numbers!AH117</f>
        <v>4537.648846090915</v>
      </c>
      <c r="T25" s="39">
        <f>[1]Numbers!AI117</f>
        <v>6563.4037832296071</v>
      </c>
      <c r="U25" s="39">
        <f>[1]Numbers!AJ117</f>
        <v>9146.0737322300301</v>
      </c>
      <c r="V25" s="39">
        <f>[1]Numbers!AK117</f>
        <v>9146.0737322300301</v>
      </c>
      <c r="W25" s="39">
        <f>[1]Numbers!AL117</f>
        <v>10741.944234743392</v>
      </c>
      <c r="X25" s="39">
        <f>[1]Numbers!AM117</f>
        <v>14883.577182616966</v>
      </c>
      <c r="Y25" s="39">
        <f>[1]Numbers!AN117</f>
        <v>20384.056150810284</v>
      </c>
    </row>
    <row r="26" spans="1:25">
      <c r="A26" t="s">
        <v>76</v>
      </c>
      <c r="D26" s="1" t="s">
        <v>56</v>
      </c>
      <c r="E26" s="1" t="s">
        <v>56</v>
      </c>
      <c r="F26" s="1" t="s">
        <v>56</v>
      </c>
      <c r="G26" s="1" t="s">
        <v>56</v>
      </c>
      <c r="H26" s="20">
        <f t="shared" ref="H26:Y26" si="0">IF(H25/H22&gt;0,H25/H22,"nm")</f>
        <v>872.64150943396226</v>
      </c>
      <c r="I26" s="20">
        <f t="shared" si="0"/>
        <v>45.638316433540815</v>
      </c>
      <c r="J26" s="20">
        <f t="shared" si="0"/>
        <v>52.536545053765359</v>
      </c>
      <c r="K26" s="20">
        <f t="shared" si="0"/>
        <v>18</v>
      </c>
      <c r="L26" s="20">
        <f t="shared" si="0"/>
        <v>10</v>
      </c>
      <c r="M26" s="20">
        <f t="shared" si="0"/>
        <v>6.6146368969292029</v>
      </c>
      <c r="N26" s="20">
        <f t="shared" si="0"/>
        <v>6.0000000000000009</v>
      </c>
      <c r="O26" s="20">
        <f t="shared" si="0"/>
        <v>6</v>
      </c>
      <c r="P26" s="20">
        <f t="shared" si="0"/>
        <v>6</v>
      </c>
      <c r="Q26" s="20">
        <f t="shared" si="0"/>
        <v>6</v>
      </c>
      <c r="R26" s="20">
        <f t="shared" si="0"/>
        <v>6</v>
      </c>
      <c r="S26" s="20">
        <f t="shared" si="0"/>
        <v>6</v>
      </c>
      <c r="T26" s="20">
        <f t="shared" si="0"/>
        <v>6</v>
      </c>
      <c r="U26" s="20">
        <f t="shared" si="0"/>
        <v>6</v>
      </c>
      <c r="V26" s="20">
        <f t="shared" si="0"/>
        <v>6.3048617857677991</v>
      </c>
      <c r="W26" s="20">
        <f t="shared" si="0"/>
        <v>6</v>
      </c>
      <c r="X26" s="20">
        <f t="shared" si="0"/>
        <v>6</v>
      </c>
      <c r="Y26" s="20">
        <f t="shared" si="0"/>
        <v>6</v>
      </c>
    </row>
    <row r="27" spans="1:25">
      <c r="A27" t="s">
        <v>77</v>
      </c>
      <c r="D27" s="1" t="s">
        <v>56</v>
      </c>
      <c r="E27" s="1" t="s">
        <v>56</v>
      </c>
      <c r="F27" s="1" t="s">
        <v>56</v>
      </c>
      <c r="G27" s="1" t="s">
        <v>56</v>
      </c>
      <c r="H27" s="20" t="str">
        <f>IF(H26/H23&gt;0,H26/H23,"nm")</f>
        <v>nm</v>
      </c>
      <c r="I27" s="20" t="str">
        <f>IF(I26/I23&gt;0,I26/I23,"nm")</f>
        <v>nm</v>
      </c>
      <c r="J27" s="20" t="str">
        <f>IF(J26/J23&gt;0,J26/J23,"nm")</f>
        <v>nm</v>
      </c>
      <c r="K27" s="20" t="str">
        <f t="shared" ref="K27:Y27" si="1">IF(K25/K23&gt;0,K25/K23,"nm")</f>
        <v>nm</v>
      </c>
      <c r="L27" s="20">
        <f t="shared" si="1"/>
        <v>43.275987289766249</v>
      </c>
      <c r="M27" s="20">
        <f t="shared" si="1"/>
        <v>24.407256823360452</v>
      </c>
      <c r="N27" s="20">
        <f t="shared" si="1"/>
        <v>15.200616223219493</v>
      </c>
      <c r="O27" s="20">
        <f t="shared" si="1"/>
        <v>12.325528110450687</v>
      </c>
      <c r="P27" s="20">
        <f t="shared" si="1"/>
        <v>10.784546910001726</v>
      </c>
      <c r="Q27" s="20">
        <f t="shared" si="1"/>
        <v>10.588670598667818</v>
      </c>
      <c r="R27" s="20">
        <f t="shared" si="1"/>
        <v>11.653485992904818</v>
      </c>
      <c r="S27" s="20">
        <f t="shared" si="1"/>
        <v>10.916905512615005</v>
      </c>
      <c r="T27" s="20">
        <f t="shared" si="1"/>
        <v>9.9582330386618576</v>
      </c>
      <c r="U27" s="20">
        <f t="shared" si="1"/>
        <v>10.034907928291966</v>
      </c>
      <c r="V27" s="20">
        <f t="shared" si="1"/>
        <v>11.919637667021011</v>
      </c>
      <c r="W27" s="20">
        <f t="shared" si="1"/>
        <v>10.904898129049341</v>
      </c>
      <c r="X27" s="20">
        <f t="shared" si="1"/>
        <v>9.9189382325015227</v>
      </c>
      <c r="Y27" s="20">
        <f t="shared" si="1"/>
        <v>10.011727756636368</v>
      </c>
    </row>
    <row r="29" spans="1:25">
      <c r="A29" t="s">
        <v>31</v>
      </c>
      <c r="D29" s="40">
        <f>[1]Numbers!S118</f>
        <v>38.200000000000003</v>
      </c>
      <c r="E29" s="40">
        <f>[1]Numbers!T118</f>
        <v>40.520000000000003</v>
      </c>
      <c r="F29" s="40">
        <f>[1]Numbers!U118</f>
        <v>45.179000000000002</v>
      </c>
      <c r="G29" s="40">
        <f>[1]Numbers!V118</f>
        <v>45.272299999999994</v>
      </c>
      <c r="H29" s="40">
        <f>[1]Numbers!W118</f>
        <v>46.551674999999996</v>
      </c>
      <c r="I29" s="40">
        <f>[1]Numbers!X118</f>
        <v>46.551674999999996</v>
      </c>
      <c r="J29" s="40">
        <f>[1]Numbers!Y118</f>
        <v>59.247586363636358</v>
      </c>
      <c r="K29" s="40">
        <f>[1]Numbers!Z118</f>
        <v>59.247586363636358</v>
      </c>
      <c r="L29" s="40">
        <f>[1]Numbers!AA118</f>
        <v>59.247586363636358</v>
      </c>
      <c r="M29" s="40">
        <f>[1]Numbers!AB118</f>
        <v>59.247586363636358</v>
      </c>
      <c r="N29" s="40">
        <f>[1]Numbers!AC118</f>
        <v>73.117447543506017</v>
      </c>
      <c r="O29" s="40">
        <f>[1]Numbers!AD118</f>
        <v>73.117447543506017</v>
      </c>
      <c r="P29" s="40">
        <f>[1]Numbers!AE118</f>
        <v>73.117447543506017</v>
      </c>
      <c r="Q29" s="40">
        <f>[1]Numbers!AF118</f>
        <v>73.117447543506017</v>
      </c>
      <c r="R29" s="40">
        <f>[1]Numbers!AG118</f>
        <v>75.397211328882861</v>
      </c>
      <c r="S29" s="40">
        <f>[1]Numbers!AH118</f>
        <v>75.397211328882861</v>
      </c>
      <c r="T29" s="40">
        <f>[1]Numbers!AI118</f>
        <v>75.397211328882861</v>
      </c>
      <c r="U29" s="40">
        <f>[1]Numbers!AJ118</f>
        <v>75.397211328882861</v>
      </c>
      <c r="V29" s="40">
        <f>[1]Numbers!AK118</f>
        <v>75.397211328882861</v>
      </c>
      <c r="W29" s="40">
        <f>[1]Numbers!AL118</f>
        <v>75.397211328882861</v>
      </c>
      <c r="X29" s="40">
        <f>[1]Numbers!AM118</f>
        <v>75.397211328882861</v>
      </c>
      <c r="Y29" s="40">
        <f>[1]Numbers!AN118</f>
        <v>75.397211328882861</v>
      </c>
    </row>
    <row r="30" spans="1:25">
      <c r="A30" t="s">
        <v>78</v>
      </c>
      <c r="D30" s="41">
        <f>D25/D29</f>
        <v>0.83299999999999996</v>
      </c>
      <c r="E30" s="41">
        <f>E25/E29</f>
        <v>0.83258884501480745</v>
      </c>
      <c r="F30" s="41">
        <f t="shared" ref="F30:X30" si="2">F25/F29</f>
        <v>1.5936607715974236</v>
      </c>
      <c r="G30" s="41">
        <f t="shared" si="2"/>
        <v>2</v>
      </c>
      <c r="H30" s="41">
        <f t="shared" si="2"/>
        <v>1.9870391344672347</v>
      </c>
      <c r="I30" s="41">
        <f t="shared" si="2"/>
        <v>2.3629654572042793</v>
      </c>
      <c r="J30" s="41">
        <f t="shared" si="2"/>
        <v>4.21958117357907</v>
      </c>
      <c r="K30" s="41">
        <f t="shared" si="2"/>
        <v>4.4402138456388212</v>
      </c>
      <c r="L30" s="41">
        <f t="shared" si="2"/>
        <v>6.6422953358322463</v>
      </c>
      <c r="M30" s="41">
        <f t="shared" si="2"/>
        <v>7.2098774964768415</v>
      </c>
      <c r="N30" s="41">
        <f t="shared" si="2"/>
        <v>8.7763618294116554</v>
      </c>
      <c r="O30" s="41">
        <f t="shared" si="2"/>
        <v>14.61865920519465</v>
      </c>
      <c r="P30" s="41">
        <f t="shared" si="2"/>
        <v>25.404890464078829</v>
      </c>
      <c r="Q30" s="41">
        <f t="shared" si="2"/>
        <v>41.956542158399444</v>
      </c>
      <c r="R30" s="41">
        <f t="shared" si="2"/>
        <v>44.848698898043679</v>
      </c>
      <c r="S30" s="41">
        <f t="shared" si="2"/>
        <v>60.183245057932943</v>
      </c>
      <c r="T30" s="41">
        <f t="shared" si="2"/>
        <v>87.051015117787585</v>
      </c>
      <c r="U30" s="41">
        <f t="shared" si="2"/>
        <v>121.3051991052405</v>
      </c>
      <c r="V30" s="41">
        <f t="shared" si="2"/>
        <v>121.3051991052405</v>
      </c>
      <c r="W30" s="41">
        <f t="shared" si="2"/>
        <v>142.47137321680239</v>
      </c>
      <c r="X30" s="41">
        <f t="shared" si="2"/>
        <v>197.40222377316792</v>
      </c>
      <c r="Y30" s="41">
        <f>Y25/Y29</f>
        <v>270.35557140031307</v>
      </c>
    </row>
    <row r="32" spans="1:25">
      <c r="A32" t="s">
        <v>79</v>
      </c>
      <c r="D32" s="39">
        <f>[1]Numbers!S128/1000</f>
        <v>1.8049999999999999</v>
      </c>
      <c r="E32" s="39">
        <f>[1]Numbers!T128/1000</f>
        <v>0.2505</v>
      </c>
      <c r="F32" s="39">
        <f>[1]Numbers!U128/1000</f>
        <v>2.18083333</v>
      </c>
      <c r="G32" s="39">
        <f>[1]Numbers!V128/1000</f>
        <v>1.6698000000000002</v>
      </c>
      <c r="H32" s="39">
        <f>[1]Numbers!W128/1000</f>
        <v>2.5587499999999999</v>
      </c>
      <c r="I32" s="39">
        <f>[1]Numbers!X128/1000</f>
        <v>0</v>
      </c>
      <c r="J32" s="39">
        <f>[1]Numbers!Y128/1000</f>
        <v>30</v>
      </c>
      <c r="K32" s="39">
        <f>[1]Numbers!Z128/1000</f>
        <v>0</v>
      </c>
      <c r="L32" s="39">
        <f>[1]Numbers!AA128/1000</f>
        <v>0</v>
      </c>
      <c r="M32" s="39">
        <f>[1]Numbers!AB128/1000</f>
        <v>0</v>
      </c>
      <c r="N32" s="39">
        <f>[1]Numbers!AC128/1000</f>
        <v>100</v>
      </c>
      <c r="O32" s="39">
        <f>[1]Numbers!AD128/1000</f>
        <v>0</v>
      </c>
      <c r="P32" s="39">
        <f>[1]Numbers!AE128/1000</f>
        <v>0</v>
      </c>
      <c r="Q32" s="39">
        <f>[1]Numbers!AF128/1000</f>
        <v>0</v>
      </c>
      <c r="R32" s="39">
        <f>[1]Numbers!AG128/1000</f>
        <v>100</v>
      </c>
      <c r="S32" s="39">
        <f>[1]Numbers!AH128/1000</f>
        <v>0</v>
      </c>
      <c r="T32" s="39">
        <f>[1]Numbers!AI128/1000</f>
        <v>0</v>
      </c>
      <c r="U32" s="39">
        <f>[1]Numbers!AJ128/1000</f>
        <v>0</v>
      </c>
      <c r="V32" s="39">
        <f>[1]Numbers!AK128/1000</f>
        <v>0</v>
      </c>
      <c r="W32" s="39">
        <f>[1]Numbers!AL128/1000</f>
        <v>0</v>
      </c>
      <c r="X32" s="39">
        <f>[1]Numbers!AM128/1000</f>
        <v>0</v>
      </c>
      <c r="Y32" s="39">
        <f>[1]Numbers!AN128/1000</f>
        <v>0</v>
      </c>
    </row>
  </sheetData>
  <phoneticPr fontId="0" type="noConversion"/>
  <printOptions horizontalCentered="1"/>
  <pageMargins left="0.5" right="0.5" top="0.75" bottom="0.75" header="0.5" footer="0.5"/>
  <pageSetup scale="95" orientation="portrait" r:id="rId1"/>
  <headerFooter alignWithMargins="0">
    <oddFooter>&amp;R&amp;D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showFormulas="1" topLeftCell="B1" workbookViewId="0">
      <selection activeCell="I6" sqref="I6:J18"/>
    </sheetView>
  </sheetViews>
  <sheetFormatPr defaultRowHeight="15"/>
  <cols>
    <col min="4" max="4" width="12" customWidth="1" collapsed="1"/>
  </cols>
  <sheetData>
    <row r="1" spans="1:10">
      <c r="B1" s="13" t="s">
        <v>12</v>
      </c>
      <c r="C1" s="13" t="s">
        <v>14</v>
      </c>
      <c r="D1" s="13" t="s">
        <v>16</v>
      </c>
      <c r="E1" s="13" t="s">
        <v>18</v>
      </c>
      <c r="F1" s="13" t="s">
        <v>21</v>
      </c>
      <c r="G1" s="13" t="s">
        <v>20</v>
      </c>
      <c r="H1" s="51" t="s">
        <v>25</v>
      </c>
      <c r="I1" s="52"/>
      <c r="J1" s="53"/>
    </row>
    <row r="2" spans="1:10">
      <c r="B2" s="13" t="s">
        <v>13</v>
      </c>
      <c r="C2" s="13" t="s">
        <v>15</v>
      </c>
      <c r="D2" s="13" t="s">
        <v>17</v>
      </c>
      <c r="E2" s="13" t="s">
        <v>19</v>
      </c>
      <c r="F2" s="13" t="s">
        <v>19</v>
      </c>
      <c r="G2" s="13" t="s">
        <v>19</v>
      </c>
      <c r="H2" s="13" t="s">
        <v>26</v>
      </c>
      <c r="I2" s="13" t="s">
        <v>21</v>
      </c>
      <c r="J2" s="13" t="s">
        <v>29</v>
      </c>
    </row>
    <row r="3" spans="1:10" ht="15.75" thickBot="1">
      <c r="B3" s="13"/>
      <c r="C3" s="13" t="s">
        <v>24</v>
      </c>
      <c r="D3" s="13" t="s">
        <v>23</v>
      </c>
      <c r="E3" s="13" t="s">
        <v>23</v>
      </c>
      <c r="F3" s="13" t="s">
        <v>23</v>
      </c>
      <c r="G3" s="13" t="s">
        <v>23</v>
      </c>
      <c r="H3" s="2"/>
      <c r="I3" s="2"/>
      <c r="J3" s="2"/>
    </row>
    <row r="4" spans="1:10" ht="16.5" thickBot="1">
      <c r="A4" s="14" t="s">
        <v>28</v>
      </c>
      <c r="B4" s="15"/>
      <c r="C4" s="16"/>
      <c r="D4" s="16"/>
      <c r="E4" s="16"/>
      <c r="F4" s="16"/>
      <c r="G4" s="16"/>
      <c r="H4" s="15"/>
      <c r="I4" s="15"/>
      <c r="J4" s="17"/>
    </row>
    <row r="5" spans="1:10">
      <c r="A5" s="11" t="s">
        <v>22</v>
      </c>
      <c r="B5" s="3">
        <v>9.375E-2</v>
      </c>
      <c r="C5" s="4">
        <v>16</v>
      </c>
      <c r="D5" s="42">
        <f t="shared" ref="D5:D11" si="0">B5*C5</f>
        <v>1.5</v>
      </c>
      <c r="E5" s="5"/>
      <c r="F5" s="5"/>
      <c r="G5" s="5"/>
      <c r="H5" s="6"/>
      <c r="I5" s="6"/>
      <c r="J5" s="7"/>
    </row>
    <row r="6" spans="1:10">
      <c r="A6" s="11" t="s">
        <v>0</v>
      </c>
      <c r="B6" s="3">
        <v>0.1875</v>
      </c>
      <c r="C6" s="4">
        <v>16</v>
      </c>
      <c r="D6" s="42">
        <f t="shared" si="0"/>
        <v>3</v>
      </c>
      <c r="E6" s="5">
        <f>4*6.391782</f>
        <v>25.567128</v>
      </c>
      <c r="F6" s="5">
        <f>4*-21.31701</f>
        <v>-85.268039999999999</v>
      </c>
      <c r="G6" s="5">
        <f>4*-22.802932</f>
        <v>-91.211727999999994</v>
      </c>
      <c r="H6" s="43">
        <f t="shared" ref="H6:H18" si="1">D6/E6</f>
        <v>0.11733816954332923</v>
      </c>
      <c r="I6" s="47" t="str">
        <f t="shared" ref="I6:I18" si="2">IF(F6&gt;0,D6/F6,"N/A")</f>
        <v>N/A</v>
      </c>
      <c r="J6" s="48" t="str">
        <f t="shared" ref="J6:J18" si="3">IF(G6&gt;0,D6/G6,"N/A")</f>
        <v>N/A</v>
      </c>
    </row>
    <row r="7" spans="1:10">
      <c r="A7" s="11" t="s">
        <v>1</v>
      </c>
      <c r="B7" s="3">
        <v>1</v>
      </c>
      <c r="C7" s="4">
        <v>16</v>
      </c>
      <c r="D7" s="42">
        <f t="shared" si="0"/>
        <v>16</v>
      </c>
      <c r="E7" s="5">
        <f>4*6.391782</f>
        <v>25.567128</v>
      </c>
      <c r="F7" s="5">
        <f>4*-21.31701</f>
        <v>-85.268039999999999</v>
      </c>
      <c r="G7" s="5">
        <f>4*-22.802932</f>
        <v>-91.211727999999994</v>
      </c>
      <c r="H7" s="43">
        <f t="shared" si="1"/>
        <v>0.62580357089775585</v>
      </c>
      <c r="I7" s="47" t="str">
        <f t="shared" si="2"/>
        <v>N/A</v>
      </c>
      <c r="J7" s="48" t="str">
        <f t="shared" si="3"/>
        <v>N/A</v>
      </c>
    </row>
    <row r="8" spans="1:10">
      <c r="A8" s="11" t="s">
        <v>2</v>
      </c>
      <c r="B8" s="3">
        <v>1.375</v>
      </c>
      <c r="C8" s="4">
        <v>16</v>
      </c>
      <c r="D8" s="42">
        <f t="shared" si="0"/>
        <v>22</v>
      </c>
      <c r="E8" s="5">
        <f>4*5.557039</f>
        <v>22.228155999999998</v>
      </c>
      <c r="F8" s="5">
        <f>4*-18.533088</f>
        <v>-74.132351999999997</v>
      </c>
      <c r="G8" s="5">
        <f>4*-20.01901</f>
        <v>-80.076040000000006</v>
      </c>
      <c r="H8" s="43">
        <f t="shared" si="1"/>
        <v>0.98973572076784067</v>
      </c>
      <c r="I8" s="47" t="str">
        <f t="shared" si="2"/>
        <v>N/A</v>
      </c>
      <c r="J8" s="48" t="str">
        <f t="shared" si="3"/>
        <v>N/A</v>
      </c>
    </row>
    <row r="9" spans="1:10">
      <c r="A9" s="11" t="s">
        <v>3</v>
      </c>
      <c r="B9" s="3">
        <v>4.5</v>
      </c>
      <c r="C9" s="4">
        <v>16</v>
      </c>
      <c r="D9" s="42">
        <f t="shared" si="0"/>
        <v>72</v>
      </c>
      <c r="E9" s="5">
        <f>4*4.722296</f>
        <v>18.889184</v>
      </c>
      <c r="F9" s="5">
        <f>4*-16.205097</f>
        <v>-64.820387999999994</v>
      </c>
      <c r="G9" s="5">
        <f>4*-18.078589</f>
        <v>-72.314356000000004</v>
      </c>
      <c r="H9" s="43">
        <f t="shared" si="1"/>
        <v>3.8117051535947768</v>
      </c>
      <c r="I9" s="47" t="str">
        <f t="shared" si="2"/>
        <v>N/A</v>
      </c>
      <c r="J9" s="48" t="str">
        <f t="shared" si="3"/>
        <v>N/A</v>
      </c>
    </row>
    <row r="10" spans="1:10">
      <c r="A10" s="11" t="s">
        <v>4</v>
      </c>
      <c r="B10" s="3">
        <v>8.1875</v>
      </c>
      <c r="C10" s="4">
        <v>16</v>
      </c>
      <c r="D10" s="42">
        <f t="shared" si="0"/>
        <v>131</v>
      </c>
      <c r="E10" s="5">
        <f>4*3.829295</f>
        <v>15.31718</v>
      </c>
      <c r="F10" s="5">
        <f>4*-13.410671</f>
        <v>-53.642684000000003</v>
      </c>
      <c r="G10" s="5">
        <f>4*-15.389417</f>
        <v>-61.557668</v>
      </c>
      <c r="H10" s="43">
        <f t="shared" si="1"/>
        <v>8.5524881211815753</v>
      </c>
      <c r="I10" s="47" t="str">
        <f t="shared" si="2"/>
        <v>N/A</v>
      </c>
      <c r="J10" s="48" t="str">
        <f t="shared" si="3"/>
        <v>N/A</v>
      </c>
    </row>
    <row r="11" spans="1:10">
      <c r="A11" s="11" t="s">
        <v>27</v>
      </c>
      <c r="B11" s="3">
        <v>18</v>
      </c>
      <c r="C11" s="4">
        <v>16</v>
      </c>
      <c r="D11" s="42">
        <f t="shared" si="0"/>
        <v>288</v>
      </c>
      <c r="E11" s="5">
        <f>4*3.380691</f>
        <v>13.522764</v>
      </c>
      <c r="F11" s="5">
        <f>4*-11.854727</f>
        <v>-47.418908000000002</v>
      </c>
      <c r="G11" s="5">
        <f>4*-14.322956</f>
        <v>-57.291823999999998</v>
      </c>
      <c r="H11" s="43">
        <f t="shared" si="1"/>
        <v>21.29742114851668</v>
      </c>
      <c r="I11" s="47" t="str">
        <f t="shared" si="2"/>
        <v>N/A</v>
      </c>
      <c r="J11" s="48" t="str">
        <f t="shared" si="3"/>
        <v>N/A</v>
      </c>
    </row>
    <row r="12" spans="1:10">
      <c r="A12" s="11" t="s">
        <v>7</v>
      </c>
      <c r="B12" s="3"/>
      <c r="C12" s="4"/>
      <c r="D12" s="5"/>
      <c r="E12" s="5">
        <f>4*3.380691</f>
        <v>13.522764</v>
      </c>
      <c r="F12" s="5">
        <f>4*-11.854727</f>
        <v>-47.418908000000002</v>
      </c>
      <c r="G12" s="5">
        <f>4*-14.322956</f>
        <v>-57.291823999999998</v>
      </c>
      <c r="H12" s="43">
        <f t="shared" si="1"/>
        <v>0</v>
      </c>
      <c r="I12" s="47" t="str">
        <f t="shared" si="2"/>
        <v>N/A</v>
      </c>
      <c r="J12" s="48" t="str">
        <f t="shared" si="3"/>
        <v>N/A</v>
      </c>
    </row>
    <row r="13" spans="1:10">
      <c r="A13" s="11" t="s">
        <v>6</v>
      </c>
      <c r="B13" s="3"/>
      <c r="C13" s="4"/>
      <c r="D13" s="5"/>
      <c r="E13" s="5">
        <f>4*2.455917</f>
        <v>9.8236679999999996</v>
      </c>
      <c r="F13" s="5">
        <f>4*-12.982575</f>
        <v>-51.930300000000003</v>
      </c>
      <c r="G13" s="5">
        <f>4*-14.996354</f>
        <v>-59.985416000000001</v>
      </c>
      <c r="H13" s="43">
        <f t="shared" si="1"/>
        <v>0</v>
      </c>
      <c r="I13" s="47" t="str">
        <f t="shared" si="2"/>
        <v>N/A</v>
      </c>
      <c r="J13" s="48" t="str">
        <f t="shared" si="3"/>
        <v>N/A</v>
      </c>
    </row>
    <row r="14" spans="1:10">
      <c r="A14" s="11" t="s">
        <v>5</v>
      </c>
      <c r="B14" s="3"/>
      <c r="C14" s="4"/>
      <c r="D14" s="5"/>
      <c r="E14" s="5">
        <f>4*2.287604</f>
        <v>9.1504159999999999</v>
      </c>
      <c r="F14" s="5">
        <f>4*-6.985124</f>
        <v>-27.940496</v>
      </c>
      <c r="G14" s="5">
        <f>-4*9.202242</f>
        <v>-36.808968</v>
      </c>
      <c r="H14" s="43">
        <f t="shared" si="1"/>
        <v>0</v>
      </c>
      <c r="I14" s="47" t="str">
        <f t="shared" si="2"/>
        <v>N/A</v>
      </c>
      <c r="J14" s="48" t="str">
        <f t="shared" si="3"/>
        <v>N/A</v>
      </c>
    </row>
    <row r="15" spans="1:10">
      <c r="A15" s="11" t="s">
        <v>8</v>
      </c>
      <c r="B15" s="3"/>
      <c r="C15" s="4"/>
      <c r="D15" s="5"/>
      <c r="E15" s="5">
        <v>7.6</v>
      </c>
      <c r="F15" s="5">
        <v>-26</v>
      </c>
      <c r="G15" s="5">
        <v>-32</v>
      </c>
      <c r="H15" s="43">
        <f t="shared" si="1"/>
        <v>0</v>
      </c>
      <c r="I15" s="47" t="str">
        <f t="shared" si="2"/>
        <v>N/A</v>
      </c>
      <c r="J15" s="48" t="str">
        <f t="shared" si="3"/>
        <v>N/A</v>
      </c>
    </row>
    <row r="16" spans="1:10">
      <c r="A16" s="11" t="s">
        <v>9</v>
      </c>
      <c r="B16" s="3"/>
      <c r="C16" s="4"/>
      <c r="D16" s="5"/>
      <c r="E16" s="5">
        <v>5.6</v>
      </c>
      <c r="F16" s="5">
        <v>-21.5</v>
      </c>
      <c r="G16" s="5">
        <v>-30.3</v>
      </c>
      <c r="H16" s="43">
        <f t="shared" si="1"/>
        <v>0</v>
      </c>
      <c r="I16" s="47" t="str">
        <f t="shared" si="2"/>
        <v>N/A</v>
      </c>
      <c r="J16" s="48" t="str">
        <f t="shared" si="3"/>
        <v>N/A</v>
      </c>
    </row>
    <row r="17" spans="1:10">
      <c r="A17" s="11" t="s">
        <v>10</v>
      </c>
      <c r="B17" s="3"/>
      <c r="C17" s="4"/>
      <c r="D17" s="5"/>
      <c r="E17" s="5">
        <v>3.2</v>
      </c>
      <c r="F17" s="5">
        <v>-20</v>
      </c>
      <c r="G17" s="5">
        <v>-16</v>
      </c>
      <c r="H17" s="43">
        <f t="shared" si="1"/>
        <v>0</v>
      </c>
      <c r="I17" s="47" t="str">
        <f t="shared" si="2"/>
        <v>N/A</v>
      </c>
      <c r="J17" s="48" t="str">
        <f t="shared" si="3"/>
        <v>N/A</v>
      </c>
    </row>
    <row r="18" spans="1:10" ht="15.75" thickBot="1">
      <c r="A18" s="12" t="s">
        <v>11</v>
      </c>
      <c r="B18" s="8"/>
      <c r="C18" s="9"/>
      <c r="D18" s="10"/>
      <c r="E18" s="10">
        <v>2.8</v>
      </c>
      <c r="F18" s="10">
        <v>-16</v>
      </c>
      <c r="G18" s="10">
        <v>-14</v>
      </c>
      <c r="H18" s="43">
        <f t="shared" si="1"/>
        <v>0</v>
      </c>
      <c r="I18" s="49" t="str">
        <f t="shared" si="2"/>
        <v>N/A</v>
      </c>
      <c r="J18" s="50" t="str">
        <f t="shared" si="3"/>
        <v>N/A</v>
      </c>
    </row>
  </sheetData>
  <mergeCells count="1">
    <mergeCell ref="H1:J1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6"/>
  <sheetViews>
    <sheetView showFormulas="1" tabSelected="1" topLeftCell="C10" workbookViewId="0">
      <selection activeCell="F26" sqref="C26:F26"/>
    </sheetView>
  </sheetViews>
  <sheetFormatPr defaultRowHeight="15"/>
  <cols>
    <col min="1" max="1" width="3.140625" customWidth="1" collapsed="1"/>
    <col min="2" max="2" width="43.140625" customWidth="1" collapsed="1"/>
    <col min="3" max="3" width="15.42578125" customWidth="1" collapsed="1"/>
    <col min="4" max="4" width="9.28515625" customWidth="1" collapsed="1"/>
    <col min="5" max="5" width="2.5703125" customWidth="1" collapsed="1"/>
    <col min="6" max="6" width="14.28515625" customWidth="1" collapsed="1"/>
  </cols>
  <sheetData>
    <row r="2" spans="1:7" ht="23.25">
      <c r="A2" s="54" t="s">
        <v>80</v>
      </c>
      <c r="B2" s="54"/>
      <c r="C2" s="54"/>
      <c r="D2" s="54"/>
      <c r="E2" s="54"/>
      <c r="F2" s="54"/>
      <c r="G2" s="54"/>
    </row>
    <row r="4" spans="1:7" ht="15.75">
      <c r="C4" s="55" t="s">
        <v>37</v>
      </c>
      <c r="D4" s="55"/>
      <c r="E4" s="21"/>
      <c r="F4" s="55" t="s">
        <v>38</v>
      </c>
      <c r="G4" s="55"/>
    </row>
    <row r="5" spans="1:7" ht="15.75">
      <c r="A5" s="2" t="s">
        <v>54</v>
      </c>
      <c r="C5" s="38"/>
      <c r="D5" s="38"/>
      <c r="E5" s="21"/>
      <c r="F5" s="38"/>
      <c r="G5" s="38"/>
    </row>
    <row r="6" spans="1:7" ht="15.75">
      <c r="B6" s="22" t="s">
        <v>55</v>
      </c>
      <c r="C6" s="30" t="e">
        <f>AVERAGE(#REF!)*1000000</f>
        <v>#REF!</v>
      </c>
      <c r="D6" s="23"/>
      <c r="E6" s="23"/>
    </row>
    <row r="7" spans="1:7" ht="15.75">
      <c r="B7" s="22" t="s">
        <v>33</v>
      </c>
      <c r="C7" s="30"/>
      <c r="D7" s="23"/>
      <c r="E7" s="23"/>
    </row>
    <row r="8" spans="1:7" ht="15.75">
      <c r="B8" s="22" t="s">
        <v>32</v>
      </c>
      <c r="C8" s="31"/>
      <c r="D8" s="24"/>
      <c r="E8" s="24"/>
    </row>
    <row r="9" spans="1:7" ht="15.75">
      <c r="B9" s="33" t="s">
        <v>39</v>
      </c>
      <c r="C9" s="32">
        <v>120000000</v>
      </c>
      <c r="D9" s="23"/>
      <c r="E9" s="23"/>
    </row>
    <row r="10" spans="1:7" ht="15.75">
      <c r="B10" s="22"/>
      <c r="C10" s="30"/>
      <c r="D10" s="23"/>
      <c r="E10" s="23"/>
    </row>
    <row r="11" spans="1:7" ht="15.75">
      <c r="B11" s="22" t="s">
        <v>30</v>
      </c>
      <c r="C11" s="37">
        <v>0.25</v>
      </c>
      <c r="D11" s="25"/>
      <c r="E11" s="25"/>
    </row>
    <row r="12" spans="1:7" ht="15.75">
      <c r="B12" s="22" t="s">
        <v>40</v>
      </c>
      <c r="F12" s="31">
        <v>2500000</v>
      </c>
    </row>
    <row r="13" spans="1:7" ht="15.75">
      <c r="B13" s="22" t="s">
        <v>41</v>
      </c>
      <c r="C13" s="32">
        <f>C9*(1-C11)</f>
        <v>90000000</v>
      </c>
      <c r="D13" s="26"/>
      <c r="E13" s="26"/>
      <c r="F13" s="32">
        <f>F12+C13</f>
        <v>92500000</v>
      </c>
    </row>
    <row r="14" spans="1:7" ht="15.75">
      <c r="B14" s="22"/>
      <c r="C14" s="32"/>
      <c r="D14" s="26"/>
      <c r="E14" s="26"/>
      <c r="F14" s="32"/>
    </row>
    <row r="15" spans="1:7" ht="15.75">
      <c r="A15" s="2" t="s">
        <v>51</v>
      </c>
      <c r="B15" s="22"/>
      <c r="C15" s="26"/>
      <c r="D15" s="26"/>
      <c r="E15" s="26"/>
      <c r="F15" s="26"/>
    </row>
    <row r="16" spans="1:7" ht="15.75">
      <c r="B16" s="22" t="s">
        <v>45</v>
      </c>
      <c r="C16" s="34">
        <v>36000000</v>
      </c>
      <c r="D16" s="44">
        <f t="shared" ref="D16:D21" si="0">C16/$C$25</f>
        <v>0.76089667445881226</v>
      </c>
      <c r="E16" s="26"/>
      <c r="F16" s="45">
        <f>C16</f>
        <v>36000000</v>
      </c>
      <c r="G16" s="46">
        <f t="shared" ref="G16:G25" si="1">F16/$F$25</f>
        <v>0.74033189947343891</v>
      </c>
    </row>
    <row r="17" spans="2:7" ht="15.75">
      <c r="B17" s="22" t="s">
        <v>46</v>
      </c>
      <c r="C17" s="34">
        <v>3410000</v>
      </c>
      <c r="D17" s="44">
        <f t="shared" si="0"/>
        <v>7.2073823886237495E-2</v>
      </c>
      <c r="E17" s="26"/>
      <c r="F17" s="45">
        <f>C17</f>
        <v>3410000</v>
      </c>
      <c r="G17" s="46">
        <f t="shared" si="1"/>
        <v>7.0125882700122974E-2</v>
      </c>
    </row>
    <row r="18" spans="2:7" ht="15.75">
      <c r="B18" s="22" t="s">
        <v>47</v>
      </c>
      <c r="C18" s="34">
        <v>1110000</v>
      </c>
      <c r="D18" s="44">
        <f t="shared" si="0"/>
        <v>2.3460980795813376E-2</v>
      </c>
      <c r="E18" s="26"/>
      <c r="F18" s="45">
        <f>C18</f>
        <v>1110000</v>
      </c>
      <c r="G18" s="46">
        <f t="shared" si="1"/>
        <v>2.2826900233764366E-2</v>
      </c>
    </row>
    <row r="19" spans="2:7" ht="15.75">
      <c r="B19" s="22" t="s">
        <v>48</v>
      </c>
      <c r="C19" s="34">
        <v>4527600</v>
      </c>
      <c r="D19" s="44">
        <f t="shared" si="0"/>
        <v>9.5695438424436619E-2</v>
      </c>
      <c r="E19" s="26"/>
      <c r="F19" s="45">
        <f>C19</f>
        <v>4527600</v>
      </c>
      <c r="G19" s="46">
        <f t="shared" si="1"/>
        <v>9.3109075223776178E-2</v>
      </c>
    </row>
    <row r="20" spans="2:7" ht="15.75">
      <c r="B20" s="22" t="s">
        <v>49</v>
      </c>
      <c r="C20" s="34"/>
      <c r="D20" s="44">
        <f t="shared" si="0"/>
        <v>0</v>
      </c>
      <c r="E20" s="26"/>
      <c r="F20" s="34">
        <f>F12/C26</f>
        <v>1314238.888888889</v>
      </c>
      <c r="G20" s="46">
        <f t="shared" si="1"/>
        <v>2.7027027027027029E-2</v>
      </c>
    </row>
    <row r="21" spans="2:7" ht="15.75">
      <c r="B21" s="22" t="s">
        <v>50</v>
      </c>
      <c r="C21" s="34"/>
      <c r="D21" s="44">
        <f t="shared" si="0"/>
        <v>0</v>
      </c>
      <c r="E21" s="26"/>
      <c r="F21" s="34"/>
      <c r="G21" s="46">
        <f t="shared" si="1"/>
        <v>0</v>
      </c>
    </row>
    <row r="22" spans="2:7" ht="15.75">
      <c r="B22" s="33" t="s">
        <v>52</v>
      </c>
      <c r="C22" s="35">
        <f>SUM(C16:C21)</f>
        <v>45047600</v>
      </c>
      <c r="D22" s="44">
        <f>C22/$C$25</f>
        <v>0.95212691756529977</v>
      </c>
      <c r="E22" s="27"/>
      <c r="F22" s="35">
        <f>SUM(F16:F21)</f>
        <v>46361838.888888888</v>
      </c>
      <c r="G22" s="46">
        <f t="shared" si="1"/>
        <v>0.95342078465812952</v>
      </c>
    </row>
    <row r="23" spans="2:7" ht="15.75">
      <c r="B23" s="33" t="s">
        <v>53</v>
      </c>
      <c r="C23" s="35">
        <v>0</v>
      </c>
      <c r="D23" s="44">
        <f>C23/$C$25</f>
        <v>0</v>
      </c>
      <c r="E23" s="27"/>
      <c r="F23" s="35"/>
      <c r="G23" s="46">
        <f t="shared" si="1"/>
        <v>0</v>
      </c>
    </row>
    <row r="24" spans="2:7" ht="15.75">
      <c r="B24" s="22" t="s">
        <v>42</v>
      </c>
      <c r="C24" s="36">
        <f>120000+2145000</f>
        <v>2265000</v>
      </c>
      <c r="D24" s="44">
        <f>C24/$C$25</f>
        <v>4.7873082434700273E-2</v>
      </c>
      <c r="E24" s="28"/>
      <c r="F24" s="36">
        <f>C24</f>
        <v>2265000</v>
      </c>
      <c r="G24" s="46">
        <f t="shared" si="1"/>
        <v>4.6579215341870532E-2</v>
      </c>
    </row>
    <row r="25" spans="2:7" ht="15.75">
      <c r="B25" s="22" t="s">
        <v>43</v>
      </c>
      <c r="C25" s="35">
        <f>SUM(C22:C24)</f>
        <v>47312600</v>
      </c>
      <c r="D25" s="44">
        <f>C25/$C$25</f>
        <v>1</v>
      </c>
      <c r="E25" s="29"/>
      <c r="F25" s="35">
        <f>SUM(F22:F24)</f>
        <v>48626838.888888888</v>
      </c>
      <c r="G25" s="46">
        <f t="shared" si="1"/>
        <v>1</v>
      </c>
    </row>
    <row r="26" spans="2:7" ht="15.75">
      <c r="B26" s="18" t="s">
        <v>44</v>
      </c>
      <c r="C26" s="56">
        <f>C13/C25</f>
        <v>1.9022416861470306</v>
      </c>
      <c r="D26" s="56"/>
      <c r="E26" s="56"/>
      <c r="F26" s="56">
        <f>F13/F25</f>
        <v>1.9022416861470306</v>
      </c>
    </row>
  </sheetData>
  <mergeCells count="3">
    <mergeCell ref="A2:G2"/>
    <mergeCell ref="C4:D4"/>
    <mergeCell ref="F4:G4"/>
  </mergeCells>
  <phoneticPr fontId="7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Graphs</vt:lpstr>
      <vt:lpstr>PNV</vt:lpstr>
      <vt:lpstr>9-2001 Value</vt:lpstr>
      <vt:lpstr>Graphs!Print_Area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C. Crabtree</dc:creator>
  <cp:lastModifiedBy>wsdou</cp:lastModifiedBy>
  <cp:lastPrinted>2001-10-04T17:23:34Z</cp:lastPrinted>
  <dcterms:created xsi:type="dcterms:W3CDTF">2001-01-28T14:07:18Z</dcterms:created>
  <dcterms:modified xsi:type="dcterms:W3CDTF">2016-01-06T07:34:56Z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-715264762</vt:i4>
  </property>
  <property fmtid="{D5CDD505-2E9C-101B-9397-08002B2CF9AE}" pid="3" name="_EmailSubject">
    <vt:lpwstr>IdleAire Valuation</vt:lpwstr>
  </property>
  <property fmtid="{D5CDD505-2E9C-101B-9397-08002B2CF9AE}" pid="4" name="_AuthorEmail">
    <vt:lpwstr>mikecrabtree@earthlink.net</vt:lpwstr>
  </property>
  <property fmtid="{D5CDD505-2E9C-101B-9397-08002B2CF9AE}" pid="5" name="_AuthorEmailDisplayName">
    <vt:lpwstr>Mike Crabtree</vt:lpwstr>
  </property>
  <property fmtid="{D5CDD505-2E9C-101B-9397-08002B2CF9AE}" pid="6" name="_ReviewingToolsShownOnce">
    <vt:lpwstr/>
  </property>
</Properties>
</file>