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120" yWindow="120" windowWidth="15180" windowHeight="8835" activeTab="1"/>
  </bookViews>
  <sheets>
    <sheet name="Allocations" sheetId="4" r:id="rId1"/>
    <sheet name="legal - rev" sheetId="6" r:id="rId2"/>
  </sheets>
  <definedNames>
    <definedName name="_xlnm.Print_Area" localSheetId="1">'legal - rev'!$B$1:$O$59</definedName>
  </definedNames>
  <calcPr calcId="152511"/>
</workbook>
</file>

<file path=xl/calcChain.xml><?xml version="1.0" encoding="utf-8"?>
<calcChain xmlns="http://schemas.openxmlformats.org/spreadsheetml/2006/main">
  <c r="E9" i="4" l="1"/>
  <c r="G9" i="4"/>
  <c r="I9" i="4"/>
  <c r="E10" i="4"/>
  <c r="E24" i="4" s="1"/>
  <c r="E28" i="4" s="1"/>
  <c r="E7" i="4" s="1"/>
  <c r="I10" i="4"/>
  <c r="E11" i="4"/>
  <c r="I11" i="4"/>
  <c r="E12" i="4"/>
  <c r="G12" i="4"/>
  <c r="I12" i="4"/>
  <c r="E13" i="4"/>
  <c r="G13" i="4"/>
  <c r="G24" i="4" s="1"/>
  <c r="G28" i="4" s="1"/>
  <c r="G31" i="4" s="1"/>
  <c r="I31" i="4" s="1"/>
  <c r="E14" i="4"/>
  <c r="G14" i="4"/>
  <c r="I14" i="4" s="1"/>
  <c r="E15" i="4"/>
  <c r="G15" i="4"/>
  <c r="I15" i="4"/>
  <c r="E16" i="4"/>
  <c r="G16" i="4"/>
  <c r="I16" i="4"/>
  <c r="E17" i="4"/>
  <c r="G17" i="4"/>
  <c r="I17" i="4"/>
  <c r="E18" i="4"/>
  <c r="G18" i="4"/>
  <c r="I18" i="4"/>
  <c r="E19" i="4"/>
  <c r="I19" i="4"/>
  <c r="E20" i="4"/>
  <c r="G20" i="4"/>
  <c r="I20" i="4"/>
  <c r="E21" i="4"/>
  <c r="G21" i="4"/>
  <c r="I21" i="4"/>
  <c r="C22" i="4"/>
  <c r="E22" i="4"/>
  <c r="G22" i="4"/>
  <c r="I22" i="4" s="1"/>
  <c r="C24" i="4"/>
  <c r="E26" i="4"/>
  <c r="I26" i="4"/>
  <c r="C28" i="4"/>
  <c r="C31" i="4" s="1"/>
  <c r="E31" i="4" s="1"/>
  <c r="E11" i="6"/>
  <c r="G11" i="6"/>
  <c r="I11" i="6"/>
  <c r="K11" i="6"/>
  <c r="G13" i="6"/>
  <c r="G14" i="6"/>
  <c r="I14" i="6" s="1"/>
  <c r="M14" i="6" s="1"/>
  <c r="G15" i="6"/>
  <c r="I15" i="6"/>
  <c r="M15" i="6"/>
  <c r="G16" i="6"/>
  <c r="I16" i="6"/>
  <c r="M16" i="6"/>
  <c r="E17" i="6"/>
  <c r="G17" i="6" s="1"/>
  <c r="I17" i="6" s="1"/>
  <c r="M17" i="6" s="1"/>
  <c r="E18" i="6"/>
  <c r="G18" i="6" s="1"/>
  <c r="K18" i="6"/>
  <c r="G19" i="6"/>
  <c r="I19" i="6"/>
  <c r="M19" i="6"/>
  <c r="E20" i="6"/>
  <c r="G20" i="6" s="1"/>
  <c r="G21" i="6"/>
  <c r="I21" i="6" s="1"/>
  <c r="M21" i="6" s="1"/>
  <c r="K21" i="6"/>
  <c r="G22" i="6"/>
  <c r="I22" i="6" s="1"/>
  <c r="M22" i="6" s="1"/>
  <c r="K22" i="6"/>
  <c r="G23" i="6"/>
  <c r="I23" i="6" s="1"/>
  <c r="M23" i="6" s="1"/>
  <c r="G24" i="6"/>
  <c r="I24" i="6"/>
  <c r="M24" i="6" s="1"/>
  <c r="G25" i="6"/>
  <c r="I25" i="6"/>
  <c r="M25" i="6" s="1"/>
  <c r="G26" i="6"/>
  <c r="I26" i="6"/>
  <c r="M26" i="6"/>
  <c r="G27" i="6"/>
  <c r="I27" i="6" s="1"/>
  <c r="M27" i="6" s="1"/>
  <c r="K27" i="6"/>
  <c r="G28" i="6"/>
  <c r="I28" i="6" s="1"/>
  <c r="M28" i="6" s="1"/>
  <c r="K29" i="6"/>
  <c r="G30" i="6"/>
  <c r="I30" i="6" s="1"/>
  <c r="M30" i="6" s="1"/>
  <c r="G31" i="6"/>
  <c r="I31" i="6"/>
  <c r="M31" i="6"/>
  <c r="G33" i="6"/>
  <c r="G32" i="6" s="1"/>
  <c r="I32" i="6" s="1"/>
  <c r="I33" i="6"/>
  <c r="K33" i="6"/>
  <c r="M33" i="6"/>
  <c r="G34" i="6"/>
  <c r="I34" i="6"/>
  <c r="M34" i="6"/>
  <c r="G35" i="6"/>
  <c r="I35" i="6" s="1"/>
  <c r="M35" i="6" s="1"/>
  <c r="G36" i="6"/>
  <c r="I36" i="6"/>
  <c r="M36" i="6" s="1"/>
  <c r="G37" i="6"/>
  <c r="I37" i="6"/>
  <c r="K37" i="6"/>
  <c r="M37" i="6" s="1"/>
  <c r="G38" i="6"/>
  <c r="I38" i="6"/>
  <c r="K38" i="6"/>
  <c r="M38" i="6" s="1"/>
  <c r="G39" i="6"/>
  <c r="I39" i="6"/>
  <c r="K39" i="6"/>
  <c r="M39" i="6" s="1"/>
  <c r="I40" i="6"/>
  <c r="M40" i="6"/>
  <c r="I41" i="6"/>
  <c r="M41" i="6" s="1"/>
  <c r="I42" i="6"/>
  <c r="M42" i="6"/>
  <c r="K43" i="6"/>
  <c r="G44" i="6"/>
  <c r="G43" i="6" s="1"/>
  <c r="I43" i="6" s="1"/>
  <c r="M43" i="6" s="1"/>
  <c r="G45" i="6"/>
  <c r="I45" i="6" s="1"/>
  <c r="M45" i="6" s="1"/>
  <c r="G46" i="6"/>
  <c r="I46" i="6"/>
  <c r="M46" i="6"/>
  <c r="G47" i="6"/>
  <c r="I47" i="6"/>
  <c r="M47" i="6"/>
  <c r="G48" i="6"/>
  <c r="I48" i="6" s="1"/>
  <c r="M48" i="6" s="1"/>
  <c r="I49" i="6"/>
  <c r="M49" i="6"/>
  <c r="I50" i="6"/>
  <c r="M50" i="6"/>
  <c r="G54" i="6"/>
  <c r="I54" i="6" s="1"/>
  <c r="M54" i="6" s="1"/>
  <c r="K54" i="6"/>
  <c r="G55" i="6"/>
  <c r="I55" i="6" s="1"/>
  <c r="M55" i="6" s="1"/>
  <c r="M59" i="6"/>
  <c r="G12" i="6" l="1"/>
  <c r="G52" i="6"/>
  <c r="G57" i="6" s="1"/>
  <c r="K32" i="6"/>
  <c r="M32" i="6" s="1"/>
  <c r="E12" i="6"/>
  <c r="I20" i="6"/>
  <c r="M20" i="6" s="1"/>
  <c r="I18" i="6"/>
  <c r="M18" i="6" s="1"/>
  <c r="I44" i="6"/>
  <c r="M44" i="6" s="1"/>
  <c r="I13" i="6"/>
  <c r="M13" i="6" s="1"/>
  <c r="M11" i="6"/>
  <c r="N11" i="6" s="1"/>
  <c r="I13" i="4"/>
  <c r="I24" i="4" s="1"/>
  <c r="I28" i="4" s="1"/>
  <c r="I7" i="4" s="1"/>
  <c r="K12" i="6"/>
  <c r="G29" i="6"/>
  <c r="I29" i="6" s="1"/>
  <c r="M29" i="6" s="1"/>
  <c r="I12" i="6" l="1"/>
  <c r="I52" i="6" s="1"/>
  <c r="E52" i="6"/>
  <c r="E57" i="6" s="1"/>
  <c r="I57" i="6" s="1"/>
  <c r="K52" i="6"/>
  <c r="M52" i="6" l="1"/>
  <c r="K57" i="6"/>
  <c r="M57" i="6" s="1"/>
  <c r="M12" i="6"/>
</calcChain>
</file>

<file path=xl/comments1.xml><?xml version="1.0" encoding="utf-8"?>
<comments xmlns="http://schemas.openxmlformats.org/spreadsheetml/2006/main">
  <authors>
    <author>lguillia</author>
  </authors>
  <commentList>
    <comment ref="F7" authorId="0" shapeId="0">
      <text>
        <r>
          <rPr>
            <b/>
            <sz val="8"/>
            <color indexed="81"/>
            <rFont val="Tahoma"/>
            <family val="2"/>
          </rPr>
          <t>Hide columns D through G for presentation purposes</t>
        </r>
      </text>
    </comment>
    <comment ref="G14" authorId="0" shapeId="0">
      <text>
        <r>
          <rPr>
            <sz val="10"/>
            <rFont val="Arial"/>
          </rPr>
          <t>Suggested Repair:(E14/7.0)*5.0
Suggested Value:60454.28571428572</t>
        </r>
      </text>
    </comment>
    <comment ref="G17" authorId="0" shapeId="0">
      <text>
        <r>
          <rPr>
            <sz val="10"/>
            <rFont val="Arial"/>
          </rPr>
          <t>Suggested Repair:(E17/7.0)*5.0
Suggested Value:90670.0</t>
        </r>
      </text>
    </comment>
    <comment ref="G18" authorId="0" shapeId="0">
      <text>
        <r>
          <rPr>
            <sz val="10"/>
            <rFont val="Arial"/>
          </rPr>
          <t>Suggested Repair:(E18/7.0)*5.0
Suggested Value:75594.28571428571</t>
        </r>
      </text>
    </comment>
    <comment ref="G20" authorId="0" shapeId="0">
      <text>
        <r>
          <rPr>
            <sz val="10"/>
            <rFont val="Arial"/>
          </rPr>
          <t>Suggested Repair:(E20/7.0)*5.0
Suggested Value:34920.71428571428</t>
        </r>
      </text>
    </comment>
    <comment ref="G21" authorId="0" shapeId="0">
      <text>
        <r>
          <rPr>
            <sz val="10"/>
            <rFont val="Arial"/>
          </rPr>
          <t>Suggested Repair:(E21/7.0)*5.0
Suggested Value:6617.142857142857</t>
        </r>
      </text>
    </comment>
    <comment ref="G23" authorId="0" shapeId="0">
      <text>
        <r>
          <rPr>
            <sz val="10"/>
            <rFont val="Arial"/>
          </rPr>
          <t>Suggested Repair:(E23/7.0)*5.0
Suggested Value:220647.5</t>
        </r>
      </text>
    </comment>
    <comment ref="G34" authorId="0" shapeId="0">
      <text>
        <r>
          <rPr>
            <sz val="10"/>
            <rFont val="Arial"/>
          </rPr>
          <t>Suggested Repair:(E34/7.0)*5.0
Suggested Value:47075.71428571428</t>
        </r>
      </text>
    </comment>
    <comment ref="G37" authorId="0" shapeId="0">
      <text>
        <r>
          <rPr>
            <sz val="10"/>
            <rFont val="Arial"/>
          </rPr>
          <t>Suggested Repair:(E37/7.0)*5.0
Suggested Value:569921.4285714285</t>
        </r>
      </text>
    </comment>
    <comment ref="G38" authorId="0" shapeId="0">
      <text>
        <r>
          <rPr>
            <sz val="10"/>
            <rFont val="Arial"/>
          </rPr>
          <t>Suggested Repair:(E38/7.0)*5.0
Suggested Value:29292.85714285714</t>
        </r>
      </text>
    </comment>
    <comment ref="G39" authorId="0" shapeId="0">
      <text>
        <r>
          <rPr>
            <sz val="10"/>
            <rFont val="Arial"/>
          </rPr>
          <t>Suggested Repair:(E39/7.0)*5.0
Suggested Value:96765.0</t>
        </r>
      </text>
    </comment>
    <comment ref="G40" authorId="0" shapeId="0">
      <text>
        <r>
          <rPr>
            <sz val="10"/>
            <rFont val="Arial"/>
          </rPr>
          <t xml:space="preserve">Suggested Repair:(E40/7.0)*5.0
</t>
        </r>
      </text>
    </comment>
    <comment ref="G41" authorId="0" shapeId="0">
      <text>
        <r>
          <rPr>
            <sz val="10"/>
            <rFont val="Arial"/>
          </rPr>
          <t xml:space="preserve">Suggested Repair:(E41/7.0)*5.0
</t>
        </r>
      </text>
    </comment>
    <comment ref="G42" authorId="0" shapeId="0">
      <text>
        <r>
          <rPr>
            <sz val="10"/>
            <rFont val="Arial"/>
          </rPr>
          <t xml:space="preserve">Suggested Repair:(E42/7.0)*5.0
</t>
        </r>
      </text>
    </comment>
    <comment ref="G48" authorId="0" shapeId="0">
      <text>
        <r>
          <rPr>
            <sz val="10"/>
            <rFont val="Arial"/>
          </rPr>
          <t>Suggested Repair:(E48/7.0)*5.0
Suggested Value:1.0478275714285715E7</t>
        </r>
      </text>
    </comment>
    <comment ref="G49" authorId="0" shapeId="0">
      <text>
        <r>
          <rPr>
            <sz val="10"/>
            <rFont val="Arial"/>
          </rPr>
          <t xml:space="preserve">Suggested Repair:(E49/7.0)*5.0
</t>
        </r>
      </text>
    </comment>
    <comment ref="G50" authorId="0" shapeId="0">
      <text>
        <r>
          <rPr>
            <sz val="10"/>
            <rFont val="Arial"/>
          </rPr>
          <t xml:space="preserve">Suggested Repair:(E50/7.0)*5.0
</t>
        </r>
      </text>
    </comment>
    <comment ref="G55" authorId="0" shapeId="0">
      <text>
        <r>
          <rPr>
            <sz val="10"/>
            <rFont val="Arial"/>
          </rPr>
          <t>Suggested Repair:((((((E55/7.0)*5.0)-1523796.67)-202753.0)-31591.0)-1606721.0)-1.2830298E7
Suggested Value:-2.5456991812857144E7</t>
        </r>
      </text>
    </comment>
  </commentList>
</comments>
</file>

<file path=xl/sharedStrings.xml><?xml version="1.0" encoding="utf-8"?>
<sst xmlns="http://schemas.openxmlformats.org/spreadsheetml/2006/main" count="86" uniqueCount="82">
  <si>
    <t>Plan</t>
  </si>
  <si>
    <t>Outside Tax</t>
  </si>
  <si>
    <t>System Development</t>
  </si>
  <si>
    <t>Insurance</t>
  </si>
  <si>
    <t>2002 Plan Summary - Legal</t>
  </si>
  <si>
    <t>'01 Fcst vs '02 Plan</t>
  </si>
  <si>
    <t>Actuals</t>
  </si>
  <si>
    <t>Forecast</t>
  </si>
  <si>
    <t>Fav/(Unfav)</t>
  </si>
  <si>
    <t>Jan-July</t>
  </si>
  <si>
    <t>Aug-Dec</t>
  </si>
  <si>
    <t xml:space="preserve">  Direct Expenses (000s)</t>
  </si>
  <si>
    <t>Compensation/Taxes and Benefits</t>
  </si>
  <si>
    <t>Employee Expenses</t>
  </si>
  <si>
    <t xml:space="preserve">     Recruiting and Relocations</t>
  </si>
  <si>
    <t xml:space="preserve">     Communications (Cell Phones, Pagers, etc.)</t>
  </si>
  <si>
    <t xml:space="preserve">     Conferences and Training</t>
  </si>
  <si>
    <t xml:space="preserve">     Club Dues</t>
  </si>
  <si>
    <t xml:space="preserve">     Employee Memberships &amp; Dues</t>
  </si>
  <si>
    <t xml:space="preserve">     Tuition Reimbursement</t>
  </si>
  <si>
    <t xml:space="preserve">     Employee Entertainment</t>
  </si>
  <si>
    <t xml:space="preserve">     Overtime/Working Meals</t>
  </si>
  <si>
    <t xml:space="preserve">     Other Employee Expenses</t>
  </si>
  <si>
    <t>Travel/Entertainment</t>
  </si>
  <si>
    <t xml:space="preserve">     Travel - Air</t>
  </si>
  <si>
    <t xml:space="preserve">     Travel - Lodging</t>
  </si>
  <si>
    <t xml:space="preserve">     Travel - Meals</t>
  </si>
  <si>
    <t xml:space="preserve">     Travel - Other</t>
  </si>
  <si>
    <t xml:space="preserve">     Client Entertainment</t>
  </si>
  <si>
    <t xml:space="preserve">     Customer Meetings</t>
  </si>
  <si>
    <t>Consulting</t>
  </si>
  <si>
    <t xml:space="preserve">     Advertising &amp; Promotions</t>
  </si>
  <si>
    <t xml:space="preserve">     Outside Services Excluding Legal and Tax</t>
  </si>
  <si>
    <t>Office</t>
  </si>
  <si>
    <t xml:space="preserve">     3rd Party Rent</t>
  </si>
  <si>
    <t xml:space="preserve">     Supplies</t>
  </si>
  <si>
    <t xml:space="preserve">     Subscriptions and Periodicals</t>
  </si>
  <si>
    <t xml:space="preserve">     Postage and Freight</t>
  </si>
  <si>
    <t xml:space="preserve">     Corporate Rent</t>
  </si>
  <si>
    <t xml:space="preserve">     Technology</t>
  </si>
  <si>
    <t>Controllable Infrastructure</t>
  </si>
  <si>
    <t>Other Expense</t>
  </si>
  <si>
    <t xml:space="preserve">     Taxes Other than Income</t>
  </si>
  <si>
    <t xml:space="preserve">     Charitable Contributions</t>
  </si>
  <si>
    <t xml:space="preserve">     Company Membership &amp; Dues</t>
  </si>
  <si>
    <t xml:space="preserve">     Other Expenses (Transportation, Fees &amp; Permits, etc.)</t>
  </si>
  <si>
    <t>Outside Legal</t>
  </si>
  <si>
    <t>Depreciation and Amortization</t>
  </si>
  <si>
    <t>Total Direct Expenses</t>
  </si>
  <si>
    <t>Amounts Billed to Other Business Units</t>
  </si>
  <si>
    <t>Amounts Directed to ENA Commercial Teams</t>
  </si>
  <si>
    <t>Expenses Net of Intercompany Billings</t>
  </si>
  <si>
    <t xml:space="preserve">  Headcount</t>
  </si>
  <si>
    <r>
      <t xml:space="preserve">Analyst Associates </t>
    </r>
    <r>
      <rPr>
        <sz val="8"/>
        <rFont val="Arial"/>
        <family val="2"/>
      </rPr>
      <t>(Includes Comp, Taxes and Benefits and allocation)</t>
    </r>
  </si>
  <si>
    <t>Per M. Haedicke, flat yr on yr</t>
  </si>
  <si>
    <t>All O/S planned as O/S legal</t>
  </si>
  <si>
    <t>2001 Forecast</t>
  </si>
  <si>
    <t>2002 Plan</t>
  </si>
  <si>
    <t>$</t>
  </si>
  <si>
    <t>%</t>
  </si>
  <si>
    <t xml:space="preserve">  Allocation to other business units</t>
  </si>
  <si>
    <t xml:space="preserve">     EGM</t>
  </si>
  <si>
    <t xml:space="preserve">     EIM</t>
  </si>
  <si>
    <t xml:space="preserve">     ENW</t>
  </si>
  <si>
    <t xml:space="preserve">     Total</t>
  </si>
  <si>
    <t>Net to ENA</t>
  </si>
  <si>
    <t xml:space="preserve">     APACHI</t>
  </si>
  <si>
    <t xml:space="preserve">     EEDC</t>
  </si>
  <si>
    <t xml:space="preserve">     ECM(EGF)</t>
  </si>
  <si>
    <t xml:space="preserve">     EEL</t>
  </si>
  <si>
    <t xml:space="preserve">     EI - S.A.</t>
  </si>
  <si>
    <t xml:space="preserve">     EBS</t>
  </si>
  <si>
    <t xml:space="preserve">     EES</t>
  </si>
  <si>
    <t xml:space="preserve">     EPI</t>
  </si>
  <si>
    <t>Sub total</t>
  </si>
  <si>
    <t xml:space="preserve">  Allocation to ENA Commercial Teams</t>
  </si>
  <si>
    <t>Merits/Promotions increase</t>
  </si>
  <si>
    <t xml:space="preserve">     Xcelerator</t>
  </si>
  <si>
    <t xml:space="preserve">     RAC - Investment Underwriting</t>
  </si>
  <si>
    <t xml:space="preserve">     Corp</t>
  </si>
  <si>
    <t xml:space="preserve">            Legal</t>
  </si>
  <si>
    <t xml:space="preserve">              Analysis of I/C Billings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</si>
</sst>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(&quot;$&quot;* #,##0.00_);_(&quot;$&quot;* \(#,##0.00\);_(&quot;$&quot;* &quot;-&quot;??_);_(@_)"/>
    <numFmt numFmtId="177" formatCode="_(* #,##0.00_);_(* \(#,##0.00\);_(* &quot;-&quot;??_);_(@_)"/>
    <numFmt numFmtId="178" formatCode="_(* #,##0_);_(* \(#,##0\);_(* &quot;-&quot;??_);_(@_)"/>
    <numFmt numFmtId="179" formatCode="_(&quot;$&quot;* #,##0_);_(&quot;$&quot;* \(#,##0\);_(&quot;$&quot;* &quot;-&quot;??_);_(@_)"/>
  </numFmts>
  <fonts count="1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sz val="8"/>
      <color indexed="12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7">
    <xf numFmtId="0" fontId="0" fillId="0" borderId="0" xfId="0"/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0" fontId="5" fillId="0" borderId="0" xfId="0" applyFont="1" applyProtection="1"/>
    <xf numFmtId="0" fontId="2" fillId="0" borderId="0" xfId="0" applyFont="1" applyProtection="1"/>
    <xf numFmtId="0" fontId="7" fillId="0" borderId="0" xfId="0" applyFont="1" applyProtection="1"/>
    <xf numFmtId="0" fontId="7" fillId="0" borderId="0" xfId="0" applyFont="1" applyBorder="1" applyProtection="1"/>
    <xf numFmtId="0" fontId="7" fillId="2" borderId="1" xfId="0" applyFont="1" applyFill="1" applyBorder="1" applyProtection="1"/>
    <xf numFmtId="0" fontId="7" fillId="2" borderId="2" xfId="0" applyFont="1" applyFill="1" applyBorder="1" applyProtection="1"/>
    <xf numFmtId="0" fontId="7" fillId="2" borderId="3" xfId="0" applyFont="1" applyFill="1" applyBorder="1" applyProtection="1"/>
    <xf numFmtId="0" fontId="7" fillId="0" borderId="0" xfId="0" applyFont="1"/>
    <xf numFmtId="0" fontId="7" fillId="2" borderId="4" xfId="0" applyFont="1" applyFill="1" applyBorder="1"/>
    <xf numFmtId="0" fontId="7" fillId="2" borderId="5" xfId="0" applyFont="1" applyFill="1" applyBorder="1"/>
    <xf numFmtId="0" fontId="7" fillId="2" borderId="6" xfId="0" applyFont="1" applyFill="1" applyBorder="1"/>
    <xf numFmtId="0" fontId="8" fillId="0" borderId="0" xfId="0" applyFont="1" applyBorder="1" applyAlignment="1">
      <alignment horizontal="center"/>
    </xf>
    <xf numFmtId="0" fontId="7" fillId="3" borderId="1" xfId="0" applyFont="1" applyFill="1" applyBorder="1" applyProtection="1"/>
    <xf numFmtId="0" fontId="7" fillId="3" borderId="3" xfId="0" applyFont="1" applyFill="1" applyBorder="1" applyProtection="1"/>
    <xf numFmtId="0" fontId="8" fillId="3" borderId="2" xfId="0" applyFont="1" applyFill="1" applyBorder="1" applyAlignment="1" applyProtection="1">
      <alignment horizontal="center"/>
    </xf>
    <xf numFmtId="0" fontId="7" fillId="3" borderId="2" xfId="0" applyFont="1" applyFill="1" applyBorder="1" applyProtection="1"/>
    <xf numFmtId="0" fontId="8" fillId="3" borderId="3" xfId="0" quotePrefix="1" applyFont="1" applyFill="1" applyBorder="1" applyAlignment="1" applyProtection="1">
      <alignment horizontal="center"/>
    </xf>
    <xf numFmtId="0" fontId="7" fillId="3" borderId="4" xfId="0" applyFont="1" applyFill="1" applyBorder="1" applyProtection="1"/>
    <xf numFmtId="0" fontId="7" fillId="3" borderId="6" xfId="0" applyFont="1" applyFill="1" applyBorder="1" applyProtection="1"/>
    <xf numFmtId="0" fontId="8" fillId="3" borderId="5" xfId="0" applyFont="1" applyFill="1" applyBorder="1" applyAlignment="1" applyProtection="1">
      <alignment horizontal="center"/>
    </xf>
    <xf numFmtId="0" fontId="7" fillId="3" borderId="5" xfId="0" applyFont="1" applyFill="1" applyBorder="1" applyProtection="1"/>
    <xf numFmtId="0" fontId="8" fillId="3" borderId="6" xfId="0" applyFont="1" applyFill="1" applyBorder="1" applyAlignment="1" applyProtection="1">
      <alignment horizontal="center"/>
    </xf>
    <xf numFmtId="0" fontId="7" fillId="0" borderId="7" xfId="0" applyFont="1" applyBorder="1" applyProtection="1"/>
    <xf numFmtId="0" fontId="8" fillId="0" borderId="8" xfId="0" applyFont="1" applyBorder="1" applyAlignment="1" applyProtection="1">
      <alignment horizontal="center"/>
    </xf>
    <xf numFmtId="0" fontId="7" fillId="0" borderId="1" xfId="0" applyFont="1" applyBorder="1" applyProtection="1"/>
    <xf numFmtId="179" fontId="8" fillId="0" borderId="2" xfId="2" applyNumberFormat="1" applyFont="1" applyBorder="1" applyAlignment="1" applyProtection="1">
      <alignment horizontal="center"/>
    </xf>
    <xf numFmtId="0" fontId="7" fillId="0" borderId="2" xfId="0" applyFont="1" applyBorder="1" applyProtection="1"/>
    <xf numFmtId="179" fontId="8" fillId="0" borderId="3" xfId="2" applyNumberFormat="1" applyFont="1" applyBorder="1" applyAlignment="1" applyProtection="1">
      <alignment horizontal="center"/>
    </xf>
    <xf numFmtId="0" fontId="8" fillId="0" borderId="2" xfId="0" applyFont="1" applyBorder="1" applyAlignment="1" applyProtection="1">
      <alignment horizontal="center"/>
    </xf>
    <xf numFmtId="179" fontId="8" fillId="0" borderId="2" xfId="2" applyNumberFormat="1" applyFont="1" applyBorder="1" applyProtection="1"/>
    <xf numFmtId="0" fontId="7" fillId="0" borderId="3" xfId="0" applyFont="1" applyBorder="1" applyProtection="1"/>
    <xf numFmtId="179" fontId="8" fillId="0" borderId="9" xfId="2" applyNumberFormat="1" applyFont="1" applyBorder="1" applyProtection="1"/>
    <xf numFmtId="0" fontId="8" fillId="3" borderId="10" xfId="0" applyFont="1" applyFill="1" applyBorder="1" applyProtection="1"/>
    <xf numFmtId="0" fontId="8" fillId="3" borderId="11" xfId="0" applyFont="1" applyFill="1" applyBorder="1" applyAlignment="1" applyProtection="1">
      <alignment horizontal="center"/>
    </xf>
    <xf numFmtId="38" fontId="7" fillId="0" borderId="0" xfId="1" applyNumberFormat="1" applyFont="1" applyBorder="1" applyAlignment="1" applyProtection="1"/>
    <xf numFmtId="179" fontId="8" fillId="0" borderId="8" xfId="2" applyNumberFormat="1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/>
    </xf>
    <xf numFmtId="0" fontId="7" fillId="0" borderId="8" xfId="0" applyFont="1" applyBorder="1" applyProtection="1"/>
    <xf numFmtId="179" fontId="8" fillId="0" borderId="12" xfId="2" applyNumberFormat="1" applyFont="1" applyBorder="1" applyProtection="1"/>
    <xf numFmtId="38" fontId="7" fillId="0" borderId="8" xfId="1" applyNumberFormat="1" applyFont="1" applyBorder="1" applyProtection="1"/>
    <xf numFmtId="38" fontId="7" fillId="0" borderId="0" xfId="1" applyNumberFormat="1" applyFont="1" applyBorder="1" applyProtection="1"/>
    <xf numFmtId="37" fontId="7" fillId="0" borderId="12" xfId="0" applyNumberFormat="1" applyFont="1" applyBorder="1" applyProtection="1"/>
    <xf numFmtId="0" fontId="8" fillId="0" borderId="0" xfId="0" applyFont="1" applyProtection="1"/>
    <xf numFmtId="0" fontId="8" fillId="0" borderId="7" xfId="0" applyFont="1" applyBorder="1" applyProtection="1"/>
    <xf numFmtId="0" fontId="8" fillId="0" borderId="8" xfId="0" applyFont="1" applyBorder="1" applyProtection="1"/>
    <xf numFmtId="38" fontId="9" fillId="0" borderId="0" xfId="1" applyNumberFormat="1" applyFont="1" applyBorder="1" applyAlignment="1" applyProtection="1"/>
    <xf numFmtId="38" fontId="8" fillId="0" borderId="0" xfId="1" applyNumberFormat="1" applyFont="1" applyBorder="1" applyAlignment="1" applyProtection="1"/>
    <xf numFmtId="38" fontId="8" fillId="0" borderId="7" xfId="1" applyNumberFormat="1" applyFont="1" applyBorder="1" applyAlignment="1" applyProtection="1"/>
    <xf numFmtId="38" fontId="10" fillId="0" borderId="0" xfId="1" applyNumberFormat="1" applyFont="1" applyBorder="1" applyAlignment="1" applyProtection="1"/>
    <xf numFmtId="38" fontId="7" fillId="0" borderId="7" xfId="1" applyNumberFormat="1" applyFont="1" applyBorder="1" applyAlignment="1" applyProtection="1"/>
    <xf numFmtId="0" fontId="8" fillId="0" borderId="0" xfId="0" applyFont="1" applyBorder="1" applyProtection="1"/>
    <xf numFmtId="0" fontId="7" fillId="0" borderId="4" xfId="0" applyFont="1" applyBorder="1" applyProtection="1"/>
    <xf numFmtId="38" fontId="7" fillId="0" borderId="5" xfId="1" applyNumberFormat="1" applyFont="1" applyBorder="1" applyAlignment="1" applyProtection="1"/>
    <xf numFmtId="0" fontId="7" fillId="0" borderId="5" xfId="0" applyFont="1" applyBorder="1" applyProtection="1"/>
    <xf numFmtId="38" fontId="7" fillId="0" borderId="6" xfId="1" applyNumberFormat="1" applyFont="1" applyBorder="1" applyAlignment="1" applyProtection="1"/>
    <xf numFmtId="37" fontId="7" fillId="0" borderId="13" xfId="0" applyNumberFormat="1" applyFont="1" applyBorder="1" applyProtection="1"/>
    <xf numFmtId="0" fontId="7" fillId="0" borderId="10" xfId="0" applyFont="1" applyFill="1" applyBorder="1" applyProtection="1"/>
    <xf numFmtId="0" fontId="8" fillId="0" borderId="14" xfId="0" applyFont="1" applyFill="1" applyBorder="1" applyAlignment="1" applyProtection="1">
      <alignment horizontal="left"/>
    </xf>
    <xf numFmtId="0" fontId="8" fillId="0" borderId="10" xfId="0" applyFont="1" applyFill="1" applyBorder="1" applyProtection="1"/>
    <xf numFmtId="179" fontId="8" fillId="0" borderId="14" xfId="2" applyNumberFormat="1" applyFont="1" applyFill="1" applyBorder="1" applyAlignment="1" applyProtection="1"/>
    <xf numFmtId="0" fontId="8" fillId="0" borderId="14" xfId="0" applyFont="1" applyFill="1" applyBorder="1" applyProtection="1"/>
    <xf numFmtId="179" fontId="8" fillId="0" borderId="14" xfId="2" applyNumberFormat="1" applyFont="1" applyBorder="1" applyAlignment="1" applyProtection="1"/>
    <xf numFmtId="0" fontId="8" fillId="0" borderId="11" xfId="0" applyFont="1" applyFill="1" applyBorder="1" applyProtection="1"/>
    <xf numFmtId="179" fontId="8" fillId="0" borderId="15" xfId="2" applyNumberFormat="1" applyFont="1" applyFill="1" applyBorder="1" applyAlignment="1" applyProtection="1"/>
    <xf numFmtId="0" fontId="7" fillId="0" borderId="7" xfId="0" applyFont="1" applyFill="1" applyBorder="1" applyProtection="1"/>
    <xf numFmtId="0" fontId="8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Protection="1"/>
    <xf numFmtId="179" fontId="8" fillId="0" borderId="0" xfId="2" applyNumberFormat="1" applyFont="1" applyFill="1" applyBorder="1" applyAlignment="1" applyProtection="1"/>
    <xf numFmtId="179" fontId="8" fillId="0" borderId="8" xfId="2" applyNumberFormat="1" applyFont="1" applyFill="1" applyBorder="1" applyAlignment="1" applyProtection="1"/>
    <xf numFmtId="0" fontId="8" fillId="0" borderId="7" xfId="0" applyFont="1" applyFill="1" applyBorder="1" applyProtection="1"/>
    <xf numFmtId="178" fontId="8" fillId="0" borderId="0" xfId="1" applyNumberFormat="1" applyFont="1" applyFill="1" applyBorder="1" applyProtection="1"/>
    <xf numFmtId="0" fontId="7" fillId="0" borderId="4" xfId="0" applyFont="1" applyFill="1" applyBorder="1" applyProtection="1"/>
    <xf numFmtId="0" fontId="8" fillId="0" borderId="5" xfId="0" applyFont="1" applyFill="1" applyBorder="1" applyAlignment="1" applyProtection="1">
      <alignment horizontal="center"/>
    </xf>
    <xf numFmtId="0" fontId="8" fillId="0" borderId="5" xfId="0" applyFont="1" applyFill="1" applyBorder="1" applyProtection="1"/>
    <xf numFmtId="179" fontId="8" fillId="0" borderId="5" xfId="2" applyNumberFormat="1" applyFont="1" applyFill="1" applyBorder="1" applyAlignment="1" applyProtection="1"/>
    <xf numFmtId="179" fontId="8" fillId="0" borderId="6" xfId="2" applyNumberFormat="1" applyFont="1" applyFill="1" applyBorder="1" applyAlignment="1" applyProtection="1"/>
    <xf numFmtId="0" fontId="8" fillId="0" borderId="5" xfId="0" applyFont="1" applyFill="1" applyBorder="1" applyAlignment="1" applyProtection="1">
      <alignment horizontal="left"/>
    </xf>
    <xf numFmtId="179" fontId="8" fillId="0" borderId="11" xfId="2" applyNumberFormat="1" applyFont="1" applyFill="1" applyBorder="1" applyAlignment="1" applyProtection="1"/>
    <xf numFmtId="0" fontId="7" fillId="0" borderId="14" xfId="0" applyFont="1" applyBorder="1" applyProtection="1"/>
    <xf numFmtId="0" fontId="8" fillId="3" borderId="15" xfId="0" applyFont="1" applyFill="1" applyBorder="1" applyAlignment="1" applyProtection="1">
      <alignment horizontal="center"/>
    </xf>
    <xf numFmtId="0" fontId="7" fillId="0" borderId="10" xfId="0" applyFont="1" applyBorder="1" applyProtection="1"/>
    <xf numFmtId="0" fontId="10" fillId="0" borderId="14" xfId="0" applyFont="1" applyBorder="1" applyProtection="1"/>
    <xf numFmtId="38" fontId="9" fillId="0" borderId="6" xfId="1" applyNumberFormat="1" applyFont="1" applyBorder="1" applyAlignment="1" applyProtection="1"/>
    <xf numFmtId="1" fontId="8" fillId="0" borderId="14" xfId="1" applyNumberFormat="1" applyFont="1" applyBorder="1" applyAlignment="1" applyProtection="1"/>
    <xf numFmtId="0" fontId="8" fillId="0" borderId="14" xfId="0" applyFont="1" applyBorder="1" applyProtection="1"/>
    <xf numFmtId="0" fontId="9" fillId="0" borderId="14" xfId="0" applyFont="1" applyBorder="1" applyProtection="1"/>
    <xf numFmtId="0" fontId="8" fillId="0" borderId="11" xfId="0" applyFont="1" applyBorder="1" applyProtection="1"/>
    <xf numFmtId="38" fontId="8" fillId="0" borderId="15" xfId="1" applyNumberFormat="1" applyFont="1" applyBorder="1" applyAlignment="1" applyProtection="1"/>
    <xf numFmtId="9" fontId="7" fillId="0" borderId="0" xfId="3" applyFont="1" applyProtection="1"/>
    <xf numFmtId="9" fontId="0" fillId="0" borderId="0" xfId="3" applyFont="1" applyProtection="1"/>
    <xf numFmtId="10" fontId="7" fillId="0" borderId="0" xfId="3" applyNumberFormat="1" applyFont="1" applyProtection="1"/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178" fontId="0" fillId="0" borderId="0" xfId="0" applyNumberFormat="1"/>
    <xf numFmtId="178" fontId="1" fillId="0" borderId="0" xfId="1" applyNumberFormat="1"/>
    <xf numFmtId="178" fontId="1" fillId="0" borderId="17" xfId="1" applyNumberFormat="1" applyBorder="1"/>
    <xf numFmtId="178" fontId="1" fillId="0" borderId="0" xfId="1" applyNumberFormat="1" applyBorder="1"/>
    <xf numFmtId="177" fontId="0" fillId="0" borderId="0" xfId="1" applyFont="1"/>
    <xf numFmtId="0" fontId="0" fillId="0" borderId="0" xfId="0" applyBorder="1"/>
    <xf numFmtId="177" fontId="0" fillId="0" borderId="0" xfId="1" applyFont="1" applyBorder="1"/>
    <xf numFmtId="178" fontId="0" fillId="0" borderId="0" xfId="0" applyNumberFormat="1" applyBorder="1"/>
    <xf numFmtId="0" fontId="0" fillId="0" borderId="0" xfId="0" applyAlignment="1">
      <alignment horizontal="right"/>
    </xf>
    <xf numFmtId="10" fontId="1" fillId="0" borderId="0" xfId="3" applyNumberFormat="1"/>
    <xf numFmtId="10" fontId="1" fillId="0" borderId="0" xfId="3" applyNumberFormat="1" applyBorder="1"/>
    <xf numFmtId="10" fontId="0" fillId="0" borderId="0" xfId="3" applyNumberFormat="1" applyFont="1"/>
    <xf numFmtId="10" fontId="0" fillId="0" borderId="0" xfId="0" applyNumberFormat="1"/>
    <xf numFmtId="38" fontId="7" fillId="0" borderId="15" xfId="1" applyNumberFormat="1" applyFont="1" applyBorder="1" applyAlignment="1" applyProtection="1"/>
    <xf numFmtId="178" fontId="12" fillId="0" borderId="0" xfId="0" applyNumberFormat="1" applyFont="1"/>
    <xf numFmtId="0" fontId="0" fillId="4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5" borderId="0" xfId="0" applyFill="1"/>
    <xf numFmtId="0" fontId="0" fillId="6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5" borderId="0" xfId="0" applyFill="1"/>
    <xf numFmtId="0" fontId="0" fillId="6" borderId="0" xfId="0" applyFill="1"/>
    <xf numFmtId="0" fontId="0" fillId="4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4" borderId="0" xfId="0" applyFill="1"/>
    <xf numFmtId="0" fontId="0" fillId="4" borderId="0" xfId="0" applyFill="1"/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8" fillId="0" borderId="10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178" fontId="1" fillId="7" borderId="0" xfId="1" applyNumberFormat="1" applyFill="1" applyBorder="1"/>
    <xf numFmtId="0" fontId="0" fillId="7" borderId="0" xfId="0" applyFill="1"/>
    <xf numFmtId="10" fontId="1" fillId="7" borderId="0" xfId="3" applyNumberFormat="1" applyFill="1" applyBorder="1"/>
    <xf numFmtId="178" fontId="1" fillId="7" borderId="0" xfId="1" applyNumberFormat="1" applyFill="1"/>
    <xf numFmtId="10" fontId="1" fillId="7" borderId="0" xfId="3" applyNumberFormat="1" applyFill="1"/>
  </cellXfs>
  <cellStyles count="4">
    <cellStyle name="百分比" xfId="3" builtinId="5"/>
    <cellStyle name="常规" xfId="0" builtinId="0"/>
    <cellStyle name="货币" xfId="2" builtinId="4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workbookViewId="0">
      <selection activeCell="I24" sqref="I24"/>
    </sheetView>
  </sheetViews>
  <sheetFormatPr defaultRowHeight="12.75" x14ac:dyDescent="0.2"/>
  <cols>
    <col min="1" max="1" width="33.7109375" customWidth="1" collapsed="1"/>
    <col min="2" max="2" width="3.7109375" customWidth="1" collapsed="1"/>
    <col min="3" max="3" width="12.5703125" customWidth="1" collapsed="1"/>
    <col min="4" max="4" width="1.5703125" customWidth="1" collapsed="1"/>
    <col min="5" max="5" width="8.28515625" bestFit="1" customWidth="1" collapsed="1"/>
    <col min="6" max="6" width="1.7109375" customWidth="1" collapsed="1"/>
    <col min="7" max="7" width="11.28515625" bestFit="1" customWidth="1" collapsed="1"/>
    <col min="8" max="8" width="1.7109375" customWidth="1" collapsed="1"/>
  </cols>
  <sheetData>
    <row r="1" spans="1:9" ht="15.75" x14ac:dyDescent="0.25">
      <c r="A1" s="136" t="s">
        <v>80</v>
      </c>
      <c r="B1" s="136"/>
      <c r="C1" s="136"/>
      <c r="D1" s="136"/>
      <c r="E1" s="136"/>
      <c r="F1" s="136"/>
      <c r="G1" s="136"/>
      <c r="H1" s="136"/>
      <c r="I1" s="136"/>
    </row>
    <row r="2" spans="1:9" x14ac:dyDescent="0.2">
      <c r="A2" s="137" t="s">
        <v>81</v>
      </c>
      <c r="B2" s="137"/>
      <c r="C2" s="137"/>
      <c r="D2" s="137"/>
      <c r="E2" s="137"/>
      <c r="F2" s="137"/>
      <c r="G2" s="137"/>
      <c r="H2" s="137"/>
      <c r="I2" s="137"/>
    </row>
    <row r="4" spans="1:9" x14ac:dyDescent="0.2">
      <c r="C4" s="138" t="s">
        <v>56</v>
      </c>
      <c r="D4" s="138"/>
      <c r="E4" s="138"/>
      <c r="G4" s="138" t="s">
        <v>57</v>
      </c>
      <c r="H4" s="138"/>
      <c r="I4" s="138"/>
    </row>
    <row r="5" spans="1:9" x14ac:dyDescent="0.2">
      <c r="C5" s="96" t="s">
        <v>58</v>
      </c>
      <c r="D5" s="95"/>
      <c r="E5" s="96" t="s">
        <v>59</v>
      </c>
      <c r="G5" s="96" t="s">
        <v>58</v>
      </c>
      <c r="H5" s="95"/>
      <c r="I5" s="96" t="s">
        <v>59</v>
      </c>
    </row>
    <row r="7" spans="1:9" x14ac:dyDescent="0.2">
      <c r="A7" t="s">
        <v>48</v>
      </c>
      <c r="C7" s="97">
        <v>52651420</v>
      </c>
      <c r="E7" s="106">
        <f>+E28+E31</f>
        <v>0.99999998100715981</v>
      </c>
      <c r="G7" s="97">
        <v>53825780</v>
      </c>
      <c r="I7" s="106">
        <f>+I28+I31</f>
        <v>1</v>
      </c>
    </row>
    <row r="8" spans="1:9" x14ac:dyDescent="0.2">
      <c r="A8" t="s">
        <v>60</v>
      </c>
      <c r="C8" s="97"/>
      <c r="E8" s="106"/>
      <c r="G8" s="97"/>
      <c r="I8" s="106"/>
    </row>
    <row r="9" spans="1:9" x14ac:dyDescent="0.2">
      <c r="A9" t="s">
        <v>61</v>
      </c>
      <c r="C9" s="98">
        <v>6323435.54</v>
      </c>
      <c r="E9" s="112">
        <f>+C9/$C$7</f>
        <v>0.12009999996201431</v>
      </c>
      <c r="G9" s="98">
        <f>3188502.78+237674.88+3040781.52</f>
        <v>6466959.1799999997</v>
      </c>
      <c r="I9" s="113">
        <f>+G9/$G$7</f>
        <v>0.12014613034869165</v>
      </c>
    </row>
    <row r="10" spans="1:9" x14ac:dyDescent="0.2">
      <c r="A10" t="s">
        <v>78</v>
      </c>
      <c r="C10" s="98">
        <v>1300490.07</v>
      </c>
      <c r="E10" s="112">
        <f>+C10/$C$7</f>
        <v>2.4699999924028642E-2</v>
      </c>
      <c r="G10" s="98">
        <v>1328654.74</v>
      </c>
      <c r="I10" s="113">
        <f t="shared" ref="I10:I22" si="0">+G10/$G$7</f>
        <v>2.4684356455215325E-2</v>
      </c>
    </row>
    <row r="11" spans="1:9" x14ac:dyDescent="0.2">
      <c r="A11" t="s">
        <v>79</v>
      </c>
      <c r="C11" s="98">
        <v>305378.24</v>
      </c>
      <c r="E11" s="112">
        <f>+C11/$C$7</f>
        <v>5.8000000759713599E-3</v>
      </c>
      <c r="G11" s="98">
        <v>311661.25</v>
      </c>
      <c r="I11" s="113">
        <f t="shared" si="0"/>
        <v>5.7901854836102697E-3</v>
      </c>
    </row>
    <row r="12" spans="1:9" x14ac:dyDescent="0.2">
      <c r="A12" t="s">
        <v>66</v>
      </c>
      <c r="C12" s="98">
        <v>9020.1107982078356</v>
      </c>
      <c r="E12" s="112">
        <f t="shared" ref="E12:E22" si="1">+C12/$C$7</f>
        <v>1.713175218865481E-4</v>
      </c>
      <c r="G12" s="98">
        <f>9020.11</f>
        <v>9020.11</v>
      </c>
      <c r="I12" s="113">
        <f t="shared" si="0"/>
        <v>1.6757973595552171E-4</v>
      </c>
    </row>
    <row r="13" spans="1:9" x14ac:dyDescent="0.2">
      <c r="A13" t="s">
        <v>63</v>
      </c>
      <c r="C13" s="98">
        <v>979316.41</v>
      </c>
      <c r="E13" s="112">
        <f t="shared" si="1"/>
        <v>1.8599999962014321E-2</v>
      </c>
      <c r="G13" s="98">
        <f>442237.29+557917.7</f>
        <v>1000154.99</v>
      </c>
      <c r="I13" s="113">
        <f t="shared" si="0"/>
        <v>1.8581337604397001E-2</v>
      </c>
    </row>
    <row r="14" spans="1:9" x14ac:dyDescent="0.2">
      <c r="A14" t="s">
        <v>67</v>
      </c>
      <c r="C14" s="100">
        <v>247461.67</v>
      </c>
      <c r="D14" s="102"/>
      <c r="E14" s="112">
        <f t="shared" si="1"/>
        <v>4.6999999240286399E-3</v>
      </c>
      <c r="F14" s="102"/>
      <c r="G14" s="100">
        <f>252662.18</f>
        <v>252662.18</v>
      </c>
      <c r="H14" s="102"/>
      <c r="I14" s="113">
        <f t="shared" si="0"/>
        <v>4.6940737319552082E-3</v>
      </c>
    </row>
    <row r="15" spans="1:9" x14ac:dyDescent="0.2">
      <c r="A15" t="s">
        <v>68</v>
      </c>
      <c r="C15" s="100">
        <v>1358406.63</v>
      </c>
      <c r="E15" s="112">
        <f t="shared" si="1"/>
        <v>2.5799999886042958E-2</v>
      </c>
      <c r="G15" s="100">
        <f>45494.64+1341350.73</f>
        <v>1386845.3699999999</v>
      </c>
      <c r="I15" s="113">
        <f t="shared" si="0"/>
        <v>2.5765448638180439E-2</v>
      </c>
    </row>
    <row r="16" spans="1:9" x14ac:dyDescent="0.2">
      <c r="A16" t="s">
        <v>69</v>
      </c>
      <c r="C16" s="100">
        <v>1200452.3700000001</v>
      </c>
      <c r="E16" s="112">
        <f t="shared" si="1"/>
        <v>2.2799999886042963E-2</v>
      </c>
      <c r="G16" s="100">
        <f>955569.96+270965.91</f>
        <v>1226535.8699999999</v>
      </c>
      <c r="I16" s="113">
        <f t="shared" si="0"/>
        <v>2.278714530472201E-2</v>
      </c>
    </row>
    <row r="17" spans="1:9" x14ac:dyDescent="0.2">
      <c r="A17" t="s">
        <v>70</v>
      </c>
      <c r="C17" s="100">
        <v>117047</v>
      </c>
      <c r="E17" s="112">
        <f t="shared" si="1"/>
        <v>2.2230549527439145E-3</v>
      </c>
      <c r="G17" s="100">
        <f>8402.19+109134.83</f>
        <v>117537.02</v>
      </c>
      <c r="I17" s="113">
        <f t="shared" si="0"/>
        <v>2.1836566046976006E-3</v>
      </c>
    </row>
    <row r="18" spans="1:9" x14ac:dyDescent="0.2">
      <c r="A18" t="s">
        <v>62</v>
      </c>
      <c r="C18" s="100">
        <v>747650.16</v>
      </c>
      <c r="E18" s="112">
        <f t="shared" si="1"/>
        <v>1.419999992402864E-2</v>
      </c>
      <c r="G18" s="100">
        <f>55378.47+706649.55</f>
        <v>762028.02</v>
      </c>
      <c r="I18" s="113">
        <f t="shared" si="0"/>
        <v>1.4157305662825508E-2</v>
      </c>
    </row>
    <row r="19" spans="1:9" x14ac:dyDescent="0.2">
      <c r="A19" t="s">
        <v>71</v>
      </c>
      <c r="C19" s="100">
        <v>7824001.0099999998</v>
      </c>
      <c r="E19" s="112">
        <f t="shared" si="1"/>
        <v>0.14859999996201431</v>
      </c>
      <c r="G19" s="100">
        <v>8000000</v>
      </c>
      <c r="I19" s="113">
        <f t="shared" si="0"/>
        <v>0.14862766503337249</v>
      </c>
    </row>
    <row r="20" spans="1:9" x14ac:dyDescent="0.2">
      <c r="A20" t="s">
        <v>72</v>
      </c>
      <c r="C20" s="100">
        <v>63123.979134454916</v>
      </c>
      <c r="E20" s="112">
        <f t="shared" si="1"/>
        <v>1.198903640860112E-3</v>
      </c>
      <c r="G20" s="100">
        <f>63123.98</f>
        <v>63123.98</v>
      </c>
      <c r="I20" s="113">
        <f t="shared" si="0"/>
        <v>1.172746219376663E-3</v>
      </c>
    </row>
    <row r="21" spans="1:9" x14ac:dyDescent="0.2">
      <c r="A21" t="s">
        <v>77</v>
      </c>
      <c r="C21" s="100">
        <v>0</v>
      </c>
      <c r="E21" s="112">
        <f t="shared" si="1"/>
        <v>0</v>
      </c>
      <c r="G21" s="100">
        <f>3539881.2</f>
        <v>3539881.2</v>
      </c>
      <c r="I21" s="113">
        <f t="shared" si="0"/>
        <v>6.5765534656441582E-2</v>
      </c>
    </row>
    <row r="22" spans="1:9" x14ac:dyDescent="0.2">
      <c r="A22" t="s">
        <v>73</v>
      </c>
      <c r="C22" s="99">
        <f>345000+5007150.04</f>
        <v>5352150.04</v>
      </c>
      <c r="E22" s="112">
        <f t="shared" si="1"/>
        <v>0.10165252978932002</v>
      </c>
      <c r="G22" s="99">
        <f>1470794.97+343995.78+4773660.57</f>
        <v>6588451.3200000003</v>
      </c>
      <c r="I22" s="113">
        <f t="shared" si="0"/>
        <v>0.12240326698470511</v>
      </c>
    </row>
    <row r="23" spans="1:9" x14ac:dyDescent="0.2">
      <c r="C23" s="100"/>
      <c r="E23" s="106"/>
      <c r="G23" s="100"/>
      <c r="I23" s="106"/>
    </row>
    <row r="24" spans="1:9" x14ac:dyDescent="0.2">
      <c r="A24" s="105" t="s">
        <v>74</v>
      </c>
      <c r="C24" s="142">
        <f>SUM(C9:C22)</f>
        <v>25827933.229932666</v>
      </c>
      <c r="D24" s="143"/>
      <c r="E24" s="144">
        <f>SUM(E9:E22)</f>
        <v>0.49054580541099668</v>
      </c>
      <c r="F24" s="143"/>
      <c r="G24" s="142">
        <f>SUM(G9:G22)</f>
        <v>31053515.229999997</v>
      </c>
      <c r="H24" s="143"/>
      <c r="I24" s="144">
        <f>SUM(I9:I22)</f>
        <v>0.57692643246414643</v>
      </c>
    </row>
    <row r="25" spans="1:9" x14ac:dyDescent="0.2">
      <c r="C25" s="100"/>
      <c r="E25" s="107"/>
      <c r="G25" s="100"/>
      <c r="I25" s="107"/>
    </row>
    <row r="26" spans="1:9" x14ac:dyDescent="0.2">
      <c r="A26" t="s">
        <v>75</v>
      </c>
      <c r="C26" s="100">
        <v>18670193.530000001</v>
      </c>
      <c r="E26" s="106">
        <f>+C26/$C$7</f>
        <v>0.35459999996201436</v>
      </c>
      <c r="G26" s="100">
        <v>19083961.190000001</v>
      </c>
      <c r="I26" s="106">
        <f>+G26/$G$7</f>
        <v>0.35455057390715011</v>
      </c>
    </row>
    <row r="27" spans="1:9" x14ac:dyDescent="0.2">
      <c r="C27" s="100"/>
      <c r="E27" s="107"/>
      <c r="G27" s="100"/>
      <c r="I27" s="107"/>
    </row>
    <row r="28" spans="1:9" x14ac:dyDescent="0.2">
      <c r="A28" s="105" t="s">
        <v>64</v>
      </c>
      <c r="C28" s="145">
        <f>+C24+C26</f>
        <v>44498126.759932667</v>
      </c>
      <c r="D28" s="143"/>
      <c r="E28" s="146">
        <f>+E26+E24</f>
        <v>0.84514580537301098</v>
      </c>
      <c r="F28" s="143"/>
      <c r="G28" s="145">
        <f>+G24+G26</f>
        <v>50137476.420000002</v>
      </c>
      <c r="H28" s="143"/>
      <c r="I28" s="146">
        <f>+I24+I26</f>
        <v>0.93147700637129649</v>
      </c>
    </row>
    <row r="29" spans="1:9" x14ac:dyDescent="0.2">
      <c r="C29" s="98"/>
      <c r="E29" s="106"/>
      <c r="G29" s="98"/>
      <c r="I29" s="106"/>
    </row>
    <row r="30" spans="1:9" x14ac:dyDescent="0.2">
      <c r="C30" s="98"/>
      <c r="E30" s="108"/>
      <c r="G30" s="98"/>
      <c r="I30" s="109"/>
    </row>
    <row r="31" spans="1:9" x14ac:dyDescent="0.2">
      <c r="A31" s="105" t="s">
        <v>65</v>
      </c>
      <c r="C31" s="111">
        <f>+C7-C28-1</f>
        <v>8153292.240067333</v>
      </c>
      <c r="E31" s="106">
        <f>+C31/$C$7</f>
        <v>0.15485417563414877</v>
      </c>
      <c r="G31" s="98">
        <f>G7-G28</f>
        <v>3688303.5799999982</v>
      </c>
      <c r="I31" s="106">
        <f>+G31/$G$7</f>
        <v>6.8522993628703538E-2</v>
      </c>
    </row>
    <row r="34" spans="1:4" x14ac:dyDescent="0.2">
      <c r="D34" s="101"/>
    </row>
    <row r="35" spans="1:4" x14ac:dyDescent="0.2">
      <c r="D35" s="101"/>
    </row>
    <row r="36" spans="1:4" x14ac:dyDescent="0.2">
      <c r="D36" s="101"/>
    </row>
    <row r="37" spans="1:4" x14ac:dyDescent="0.2">
      <c r="C37" s="102"/>
      <c r="D37" s="103"/>
    </row>
    <row r="38" spans="1:4" x14ac:dyDescent="0.2">
      <c r="A38" s="101"/>
      <c r="C38" s="104"/>
      <c r="D38" s="103"/>
    </row>
    <row r="39" spans="1:4" x14ac:dyDescent="0.2">
      <c r="A39" s="101"/>
      <c r="C39" s="102"/>
      <c r="D39" s="103"/>
    </row>
    <row r="40" spans="1:4" x14ac:dyDescent="0.2">
      <c r="A40" s="101"/>
      <c r="C40" s="104"/>
      <c r="D40" s="103"/>
    </row>
    <row r="41" spans="1:4" x14ac:dyDescent="0.2">
      <c r="A41" s="101"/>
      <c r="C41" s="102"/>
      <c r="D41" s="103"/>
    </row>
    <row r="42" spans="1:4" x14ac:dyDescent="0.2">
      <c r="A42" s="101"/>
      <c r="C42" s="102"/>
      <c r="D42" s="103"/>
    </row>
    <row r="43" spans="1:4" x14ac:dyDescent="0.2">
      <c r="A43" s="101"/>
      <c r="C43" s="102"/>
      <c r="D43" s="103"/>
    </row>
    <row r="44" spans="1:4" x14ac:dyDescent="0.2">
      <c r="A44" s="101"/>
      <c r="C44" s="102"/>
      <c r="D44" s="103"/>
    </row>
    <row r="45" spans="1:4" x14ac:dyDescent="0.2">
      <c r="A45" s="101"/>
      <c r="C45" s="102"/>
      <c r="D45" s="103"/>
    </row>
    <row r="46" spans="1:4" x14ac:dyDescent="0.2">
      <c r="A46" s="101"/>
      <c r="C46" s="102"/>
      <c r="D46" s="102"/>
    </row>
    <row r="47" spans="1:4" x14ac:dyDescent="0.2">
      <c r="A47" s="101"/>
    </row>
    <row r="48" spans="1:4" x14ac:dyDescent="0.2">
      <c r="A48" s="101"/>
    </row>
    <row r="49" spans="1:1" x14ac:dyDescent="0.2">
      <c r="A49" s="101"/>
    </row>
    <row r="50" spans="1:1" x14ac:dyDescent="0.2">
      <c r="A50" s="101"/>
    </row>
  </sheetData>
  <mergeCells count="4">
    <mergeCell ref="A1:I1"/>
    <mergeCell ref="A2:I2"/>
    <mergeCell ref="C4:E4"/>
    <mergeCell ref="G4:I4"/>
  </mergeCells>
  <phoneticPr fontId="0" type="noConversion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44"/>
  <sheetViews>
    <sheetView tabSelected="1" topLeftCell="C1" workbookViewId="0">
      <selection activeCell="K22" sqref="K22"/>
    </sheetView>
  </sheetViews>
  <sheetFormatPr defaultRowHeight="12.75" outlineLevelRow="1" x14ac:dyDescent="0.2"/>
  <cols>
    <col min="1" max="1" width="3.7109375" style="1" customWidth="1" collapsed="1"/>
    <col min="2" max="2" width="2.5703125" style="1" customWidth="1" collapsed="1"/>
    <col min="3" max="3" width="52" style="1" customWidth="1" collapsed="1"/>
    <col min="4" max="4" width="2.5703125" style="1" hidden="1" customWidth="1" collapsed="1"/>
    <col min="5" max="5" width="12.5703125" style="1" hidden="1" customWidth="1" collapsed="1"/>
    <col min="6" max="6" width="2.5703125" style="1" hidden="1" customWidth="1" collapsed="1"/>
    <col min="7" max="7" width="12.5703125" style="1" hidden="1" customWidth="1" collapsed="1"/>
    <col min="8" max="8" width="2.5703125" style="1" customWidth="1" collapsed="1"/>
    <col min="9" max="9" width="14.28515625" style="1" customWidth="1" collapsed="1"/>
    <col min="10" max="10" width="2.5703125" style="1" customWidth="1" collapsed="1"/>
    <col min="11" max="11" width="13" style="1" customWidth="1" collapsed="1"/>
    <col min="12" max="12" width="2.5703125" style="1" customWidth="1" collapsed="1"/>
    <col min="13" max="13" width="15.85546875" style="1" customWidth="1" collapsed="1"/>
    <col min="14" max="14" width="7.42578125" style="1" customWidth="1" collapsed="1"/>
    <col min="15" max="15" width="23.42578125" style="1" customWidth="1" collapsed="1"/>
    <col min="16" max="16384" width="9.140625" style="1" collapsed="1"/>
  </cols>
  <sheetData>
    <row r="1" spans="1:15" ht="9.75" customHeight="1" thickBo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7"/>
    </row>
    <row r="2" spans="1:15" ht="9" customHeight="1" thickBot="1" x14ac:dyDescent="0.25">
      <c r="A2" s="6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10"/>
    </row>
    <row r="3" spans="1:15" customFormat="1" ht="28.5" customHeight="1" thickBot="1" x14ac:dyDescent="0.25">
      <c r="A3" s="11"/>
      <c r="B3" s="139" t="s">
        <v>4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1"/>
    </row>
    <row r="4" spans="1:15" customFormat="1" ht="9" customHeight="1" thickBot="1" x14ac:dyDescent="0.25">
      <c r="A4" s="11"/>
      <c r="B4" s="12"/>
      <c r="C4" s="13"/>
      <c r="D4" s="13"/>
      <c r="E4" s="13"/>
      <c r="F4" s="13"/>
      <c r="G4" s="13"/>
      <c r="H4" s="13"/>
      <c r="I4" s="13"/>
      <c r="J4" s="13"/>
      <c r="K4" s="13"/>
      <c r="L4" s="13"/>
      <c r="M4" s="14"/>
    </row>
    <row r="5" spans="1:15" customFormat="1" ht="15" customHeight="1" thickBot="1" x14ac:dyDescent="0.25">
      <c r="A5" s="11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1:15" x14ac:dyDescent="0.2">
      <c r="A6" s="6"/>
      <c r="B6" s="16"/>
      <c r="C6" s="17"/>
      <c r="D6" s="16"/>
      <c r="E6" s="18">
        <v>2001</v>
      </c>
      <c r="F6" s="19"/>
      <c r="G6" s="18">
        <v>2001</v>
      </c>
      <c r="H6" s="16"/>
      <c r="I6" s="18">
        <v>2001</v>
      </c>
      <c r="J6" s="19"/>
      <c r="K6" s="18">
        <v>2002</v>
      </c>
      <c r="L6" s="17"/>
      <c r="M6" s="20" t="s">
        <v>5</v>
      </c>
    </row>
    <row r="7" spans="1:15" ht="13.5" thickBot="1" x14ac:dyDescent="0.25">
      <c r="A7" s="6"/>
      <c r="B7" s="21"/>
      <c r="C7" s="22"/>
      <c r="D7" s="21"/>
      <c r="E7" s="23" t="s">
        <v>6</v>
      </c>
      <c r="F7" s="24"/>
      <c r="G7" s="23" t="s">
        <v>7</v>
      </c>
      <c r="H7" s="21"/>
      <c r="I7" s="23" t="s">
        <v>7</v>
      </c>
      <c r="J7" s="24"/>
      <c r="K7" s="23" t="s">
        <v>0</v>
      </c>
      <c r="L7" s="22"/>
      <c r="M7" s="25" t="s">
        <v>8</v>
      </c>
    </row>
    <row r="8" spans="1:15" ht="16.5" customHeight="1" thickBot="1" x14ac:dyDescent="0.25">
      <c r="A8" s="6"/>
      <c r="B8" s="26"/>
      <c r="C8" s="27"/>
      <c r="D8" s="28"/>
      <c r="E8" s="29" t="s">
        <v>9</v>
      </c>
      <c r="F8" s="30"/>
      <c r="G8" s="31" t="s">
        <v>10</v>
      </c>
      <c r="H8" s="28"/>
      <c r="I8" s="32"/>
      <c r="J8" s="30"/>
      <c r="K8" s="33"/>
      <c r="L8" s="34"/>
      <c r="M8" s="35"/>
    </row>
    <row r="9" spans="1:15" s="2" customFormat="1" ht="15.75" customHeight="1" thickBot="1" x14ac:dyDescent="0.25">
      <c r="A9" s="6"/>
      <c r="B9" s="36" t="s">
        <v>11</v>
      </c>
      <c r="C9" s="37"/>
      <c r="D9" s="26"/>
      <c r="E9" s="38"/>
      <c r="F9" s="7"/>
      <c r="G9" s="39"/>
      <c r="H9" s="26"/>
      <c r="I9" s="40"/>
      <c r="J9" s="7"/>
      <c r="K9" s="38"/>
      <c r="L9" s="41"/>
      <c r="M9" s="42"/>
    </row>
    <row r="10" spans="1:15" x14ac:dyDescent="0.2">
      <c r="A10" s="6"/>
      <c r="B10" s="26"/>
      <c r="C10" s="41"/>
      <c r="D10" s="26"/>
      <c r="E10" s="38"/>
      <c r="F10" s="7"/>
      <c r="G10" s="43"/>
      <c r="H10" s="26"/>
      <c r="I10" s="44"/>
      <c r="J10" s="7"/>
      <c r="K10" s="44"/>
      <c r="L10" s="41"/>
      <c r="M10" s="45"/>
    </row>
    <row r="11" spans="1:15" s="3" customFormat="1" ht="15" x14ac:dyDescent="0.25">
      <c r="A11" s="46"/>
      <c r="B11" s="47"/>
      <c r="C11" s="48" t="s">
        <v>12</v>
      </c>
      <c r="D11" s="47"/>
      <c r="E11" s="49">
        <f>9726378+308479+32071</f>
        <v>10066928</v>
      </c>
      <c r="F11" s="50"/>
      <c r="G11" s="49">
        <f>+E11/7*5</f>
        <v>7190662.8571428563</v>
      </c>
      <c r="H11" s="51"/>
      <c r="I11" s="130">
        <f>+E11+G11</f>
        <v>17257590.857142858</v>
      </c>
      <c r="J11" s="50"/>
      <c r="K11" s="49">
        <f>15579658+2820671</f>
        <v>18400329</v>
      </c>
      <c r="L11" s="48"/>
      <c r="M11" s="131">
        <f>(-K11+I11)</f>
        <v>-1142738.1428571418</v>
      </c>
      <c r="N11" s="94">
        <f>+M11/K11</f>
        <v>-6.2104223400415381E-2</v>
      </c>
      <c r="O11" s="6" t="s">
        <v>76</v>
      </c>
    </row>
    <row r="12" spans="1:15" s="3" customFormat="1" ht="15" x14ac:dyDescent="0.25">
      <c r="A12" s="46"/>
      <c r="B12" s="47"/>
      <c r="C12" s="48" t="s">
        <v>13</v>
      </c>
      <c r="D12" s="47"/>
      <c r="E12" s="50">
        <f>SUM(E13:E21)</f>
        <v>375559</v>
      </c>
      <c r="F12" s="50"/>
      <c r="G12" s="50">
        <f>SUM(G13:G21)</f>
        <v>337130.42857142852</v>
      </c>
      <c r="H12" s="51"/>
      <c r="I12" s="130">
        <f>+E12+G12</f>
        <v>712689.42857142852</v>
      </c>
      <c r="J12" s="50"/>
      <c r="K12" s="50">
        <f>SUM(K13:K21)</f>
        <v>802644</v>
      </c>
      <c r="L12" s="48"/>
      <c r="M12" s="131">
        <f t="shared" ref="M12:M52" si="0">(-K12+I12)</f>
        <v>-89954.571428571478</v>
      </c>
      <c r="N12" s="94"/>
    </row>
    <row r="13" spans="1:15" s="4" customFormat="1" outlineLevel="1" x14ac:dyDescent="0.2">
      <c r="A13" s="6"/>
      <c r="B13" s="26"/>
      <c r="C13" s="41" t="s">
        <v>14</v>
      </c>
      <c r="D13" s="26"/>
      <c r="E13" s="52">
        <v>0</v>
      </c>
      <c r="F13" s="38"/>
      <c r="G13" s="114">
        <f t="shared" ref="G13:G36" si="1">+E13/7*5</f>
        <v>0</v>
      </c>
      <c r="H13" s="53"/>
      <c r="I13" s="130">
        <f>+E13+G13</f>
        <v>0</v>
      </c>
      <c r="J13" s="38"/>
      <c r="K13" s="52">
        <v>0</v>
      </c>
      <c r="L13" s="41"/>
      <c r="M13" s="131">
        <f t="shared" si="0"/>
        <v>0</v>
      </c>
      <c r="N13" s="94"/>
    </row>
    <row r="14" spans="1:15" s="4" customFormat="1" outlineLevel="1" x14ac:dyDescent="0.2">
      <c r="A14" s="6"/>
      <c r="B14" s="26"/>
      <c r="C14" s="41" t="s">
        <v>15</v>
      </c>
      <c r="D14" s="26"/>
      <c r="E14" s="52">
        <v>84636</v>
      </c>
      <c r="F14" s="7"/>
      <c r="G14" s="115">
        <f>+E14/7*5+19706+20000</f>
        <v>100160.28571428571</v>
      </c>
      <c r="H14" s="26"/>
      <c r="I14" s="130">
        <f t="shared" ref="I14:I21" si="2">+E14+G14</f>
        <v>184796.28571428571</v>
      </c>
      <c r="J14" s="7"/>
      <c r="K14" s="52">
        <v>220404</v>
      </c>
      <c r="L14" s="41"/>
      <c r="M14" s="131">
        <f t="shared" si="0"/>
        <v>-35607.71428571429</v>
      </c>
      <c r="N14" s="94"/>
    </row>
    <row r="15" spans="1:15" s="4" customFormat="1" outlineLevel="1" x14ac:dyDescent="0.2">
      <c r="A15" s="6"/>
      <c r="B15" s="26"/>
      <c r="C15" s="41" t="s">
        <v>16</v>
      </c>
      <c r="D15" s="26"/>
      <c r="E15" s="52">
        <v>0</v>
      </c>
      <c r="F15" s="7"/>
      <c r="G15" s="114">
        <f t="shared" si="1"/>
        <v>0</v>
      </c>
      <c r="H15" s="26"/>
      <c r="I15" s="130">
        <f t="shared" si="2"/>
        <v>0</v>
      </c>
      <c r="J15" s="7"/>
      <c r="K15" s="52">
        <v>0</v>
      </c>
      <c r="L15" s="41"/>
      <c r="M15" s="131">
        <f t="shared" si="0"/>
        <v>0</v>
      </c>
      <c r="N15" s="94"/>
    </row>
    <row r="16" spans="1:15" s="4" customFormat="1" outlineLevel="1" x14ac:dyDescent="0.2">
      <c r="A16" s="6"/>
      <c r="B16" s="26"/>
      <c r="C16" s="41" t="s">
        <v>17</v>
      </c>
      <c r="D16" s="26"/>
      <c r="E16" s="52">
        <v>0</v>
      </c>
      <c r="F16" s="7"/>
      <c r="G16" s="114">
        <f t="shared" si="1"/>
        <v>0</v>
      </c>
      <c r="H16" s="26"/>
      <c r="I16" s="130">
        <f t="shared" si="2"/>
        <v>0</v>
      </c>
      <c r="J16" s="7"/>
      <c r="K16" s="52">
        <v>0</v>
      </c>
      <c r="L16" s="41"/>
      <c r="M16" s="131">
        <f t="shared" si="0"/>
        <v>0</v>
      </c>
      <c r="N16" s="94"/>
    </row>
    <row r="17" spans="1:15" s="4" customFormat="1" outlineLevel="1" x14ac:dyDescent="0.2">
      <c r="A17" s="6"/>
      <c r="B17" s="26"/>
      <c r="C17" s="41" t="s">
        <v>18</v>
      </c>
      <c r="D17" s="26"/>
      <c r="E17" s="52">
        <f>126073+865</f>
        <v>126938</v>
      </c>
      <c r="F17" s="38"/>
      <c r="G17" s="116">
        <f>+E17/7*5+9896+880</f>
        <v>101446</v>
      </c>
      <c r="H17" s="53"/>
      <c r="I17" s="130">
        <f t="shared" si="2"/>
        <v>228384</v>
      </c>
      <c r="J17" s="38"/>
      <c r="K17" s="52">
        <v>261072</v>
      </c>
      <c r="L17" s="41"/>
      <c r="M17" s="131">
        <f t="shared" si="0"/>
        <v>-32688</v>
      </c>
      <c r="N17" s="94"/>
    </row>
    <row r="18" spans="1:15" s="4" customFormat="1" outlineLevel="1" x14ac:dyDescent="0.2">
      <c r="A18" s="6"/>
      <c r="B18" s="26"/>
      <c r="C18" s="41" t="s">
        <v>19</v>
      </c>
      <c r="D18" s="26"/>
      <c r="E18" s="52">
        <f>97688+8144</f>
        <v>105832</v>
      </c>
      <c r="F18" s="38"/>
      <c r="G18" s="117">
        <f>+E18/7*5+6796+5000</f>
        <v>87390.28571428571</v>
      </c>
      <c r="H18" s="53"/>
      <c r="I18" s="130">
        <f t="shared" si="2"/>
        <v>193222.28571428571</v>
      </c>
      <c r="J18" s="38"/>
      <c r="K18" s="52">
        <f>190068+14400</f>
        <v>204468</v>
      </c>
      <c r="L18" s="41"/>
      <c r="M18" s="131">
        <f t="shared" si="0"/>
        <v>-11245.71428571429</v>
      </c>
      <c r="N18" s="94"/>
    </row>
    <row r="19" spans="1:15" s="4" customFormat="1" outlineLevel="1" x14ac:dyDescent="0.2">
      <c r="A19" s="6"/>
      <c r="B19" s="26"/>
      <c r="C19" s="41" t="s">
        <v>20</v>
      </c>
      <c r="D19" s="26"/>
      <c r="E19" s="52">
        <v>0</v>
      </c>
      <c r="F19" s="38"/>
      <c r="G19" s="114">
        <f t="shared" si="1"/>
        <v>0</v>
      </c>
      <c r="H19" s="53"/>
      <c r="I19" s="130">
        <f t="shared" si="2"/>
        <v>0</v>
      </c>
      <c r="J19" s="38"/>
      <c r="K19" s="52">
        <v>0</v>
      </c>
      <c r="L19" s="41"/>
      <c r="M19" s="131">
        <f t="shared" si="0"/>
        <v>0</v>
      </c>
      <c r="N19" s="94"/>
    </row>
    <row r="20" spans="1:15" s="4" customFormat="1" outlineLevel="1" x14ac:dyDescent="0.2">
      <c r="A20" s="6"/>
      <c r="B20" s="26"/>
      <c r="C20" s="41" t="s">
        <v>21</v>
      </c>
      <c r="D20" s="26"/>
      <c r="E20" s="52">
        <f>48663+226</f>
        <v>48889</v>
      </c>
      <c r="F20" s="38"/>
      <c r="G20" s="118">
        <f>+E20/7*5+5074+1028</f>
        <v>41022.714285714283</v>
      </c>
      <c r="H20" s="53"/>
      <c r="I20" s="130">
        <f t="shared" si="2"/>
        <v>89911.71428571429</v>
      </c>
      <c r="J20" s="38"/>
      <c r="K20" s="52">
        <v>101232</v>
      </c>
      <c r="L20" s="41"/>
      <c r="M20" s="131">
        <f t="shared" si="0"/>
        <v>-11320.28571428571</v>
      </c>
      <c r="N20" s="94"/>
    </row>
    <row r="21" spans="1:15" s="4" customFormat="1" outlineLevel="1" x14ac:dyDescent="0.2">
      <c r="A21" s="6"/>
      <c r="B21" s="26"/>
      <c r="C21" s="41" t="s">
        <v>22</v>
      </c>
      <c r="D21" s="26"/>
      <c r="E21" s="52">
        <v>9264</v>
      </c>
      <c r="F21" s="38"/>
      <c r="G21" s="119">
        <f>+E21/7*5+224+270</f>
        <v>7111.1428571428569</v>
      </c>
      <c r="H21" s="53"/>
      <c r="I21" s="130">
        <f t="shared" si="2"/>
        <v>16375.142857142857</v>
      </c>
      <c r="J21" s="38"/>
      <c r="K21" s="52">
        <f>15468</f>
        <v>15468</v>
      </c>
      <c r="L21" s="41"/>
      <c r="M21" s="131">
        <f t="shared" si="0"/>
        <v>907.14285714285688</v>
      </c>
      <c r="N21" s="94"/>
    </row>
    <row r="22" spans="1:15" s="3" customFormat="1" ht="15" x14ac:dyDescent="0.25">
      <c r="A22" s="46"/>
      <c r="B22" s="47"/>
      <c r="C22" s="48" t="s">
        <v>23</v>
      </c>
      <c r="D22" s="47"/>
      <c r="E22" s="50">
        <v>617813</v>
      </c>
      <c r="F22" s="50"/>
      <c r="G22" s="50">
        <f>SUM(G23:G26)</f>
        <v>453535</v>
      </c>
      <c r="H22" s="47"/>
      <c r="I22" s="130">
        <f>+E22+G22</f>
        <v>1071348</v>
      </c>
      <c r="J22" s="54"/>
      <c r="K22" s="50">
        <f>SUM(K23:K26)</f>
        <v>1097316</v>
      </c>
      <c r="L22" s="48"/>
      <c r="M22" s="131">
        <f t="shared" si="0"/>
        <v>-25968</v>
      </c>
      <c r="N22" s="94"/>
    </row>
    <row r="23" spans="1:15" s="4" customFormat="1" outlineLevel="1" x14ac:dyDescent="0.2">
      <c r="A23" s="6"/>
      <c r="B23" s="26"/>
      <c r="C23" s="41" t="s">
        <v>24</v>
      </c>
      <c r="D23" s="26"/>
      <c r="E23" s="52">
        <v>308906.5</v>
      </c>
      <c r="F23" s="38"/>
      <c r="G23" s="121">
        <f>+E23/7*5+8126+4114</f>
        <v>232887.5</v>
      </c>
      <c r="H23" s="53"/>
      <c r="I23" s="130">
        <f>+E23+G23</f>
        <v>541794</v>
      </c>
      <c r="J23" s="38"/>
      <c r="K23" s="52">
        <v>558924</v>
      </c>
      <c r="L23" s="41"/>
      <c r="M23" s="131">
        <f t="shared" si="0"/>
        <v>-17130</v>
      </c>
      <c r="N23" s="94"/>
    </row>
    <row r="24" spans="1:15" s="4" customFormat="1" outlineLevel="1" x14ac:dyDescent="0.2">
      <c r="A24" s="6"/>
      <c r="B24" s="26"/>
      <c r="C24" s="41" t="s">
        <v>25</v>
      </c>
      <c r="D24" s="26"/>
      <c r="E24" s="52">
        <v>185343.9</v>
      </c>
      <c r="F24" s="38"/>
      <c r="G24" s="120">
        <f t="shared" si="1"/>
        <v>132388.5</v>
      </c>
      <c r="H24" s="53"/>
      <c r="I24" s="130">
        <f>+E24+G24</f>
        <v>317732.40000000002</v>
      </c>
      <c r="J24" s="38"/>
      <c r="K24" s="52">
        <v>322716</v>
      </c>
      <c r="L24" s="41"/>
      <c r="M24" s="131">
        <f t="shared" si="0"/>
        <v>-4983.5999999999767</v>
      </c>
      <c r="N24" s="94"/>
    </row>
    <row r="25" spans="1:15" s="4" customFormat="1" outlineLevel="1" x14ac:dyDescent="0.2">
      <c r="A25" s="6"/>
      <c r="B25" s="26"/>
      <c r="C25" s="41" t="s">
        <v>26</v>
      </c>
      <c r="D25" s="26"/>
      <c r="E25" s="52">
        <v>92671.95</v>
      </c>
      <c r="F25" s="38"/>
      <c r="G25" s="120">
        <f t="shared" si="1"/>
        <v>66194.25</v>
      </c>
      <c r="H25" s="53"/>
      <c r="I25" s="130">
        <f>+E25+G25</f>
        <v>158866.20000000001</v>
      </c>
      <c r="J25" s="38"/>
      <c r="K25" s="52">
        <v>161388</v>
      </c>
      <c r="L25" s="41"/>
      <c r="M25" s="131">
        <f t="shared" si="0"/>
        <v>-2521.7999999999884</v>
      </c>
      <c r="N25" s="94"/>
    </row>
    <row r="26" spans="1:15" s="4" customFormat="1" outlineLevel="1" x14ac:dyDescent="0.2">
      <c r="A26" s="6"/>
      <c r="B26" s="26"/>
      <c r="C26" s="41" t="s">
        <v>27</v>
      </c>
      <c r="D26" s="26"/>
      <c r="E26" s="52">
        <v>30890.65</v>
      </c>
      <c r="F26" s="7"/>
      <c r="G26" s="120">
        <f t="shared" si="1"/>
        <v>22064.75</v>
      </c>
      <c r="H26" s="26"/>
      <c r="I26" s="130">
        <f>+E26+G26</f>
        <v>52955.4</v>
      </c>
      <c r="J26" s="7"/>
      <c r="K26" s="52">
        <v>54288</v>
      </c>
      <c r="L26" s="41"/>
      <c r="M26" s="131">
        <f t="shared" si="0"/>
        <v>-1332.5999999999985</v>
      </c>
      <c r="N26" s="94"/>
    </row>
    <row r="27" spans="1:15" s="4" customFormat="1" outlineLevel="1" x14ac:dyDescent="0.2">
      <c r="A27" s="6"/>
      <c r="B27" s="26"/>
      <c r="C27" s="41" t="s">
        <v>28</v>
      </c>
      <c r="D27" s="26"/>
      <c r="E27" s="52">
        <v>28774.799999999999</v>
      </c>
      <c r="F27" s="7"/>
      <c r="G27" s="120">
        <f t="shared" si="1"/>
        <v>20553.428571428572</v>
      </c>
      <c r="H27" s="26"/>
      <c r="I27" s="130">
        <f t="shared" ref="I27:I50" si="3">+E27+G27</f>
        <v>49328.228571428568</v>
      </c>
      <c r="J27" s="7"/>
      <c r="K27" s="52">
        <f>52812</f>
        <v>52812</v>
      </c>
      <c r="L27" s="41"/>
      <c r="M27" s="131">
        <f t="shared" si="0"/>
        <v>-3483.7714285714319</v>
      </c>
      <c r="N27" s="94"/>
    </row>
    <row r="28" spans="1:15" s="4" customFormat="1" outlineLevel="1" x14ac:dyDescent="0.2">
      <c r="A28" s="6"/>
      <c r="B28" s="26"/>
      <c r="C28" s="41" t="s">
        <v>29</v>
      </c>
      <c r="D28" s="26"/>
      <c r="E28" s="52">
        <v>0</v>
      </c>
      <c r="F28" s="38"/>
      <c r="G28" s="120">
        <f t="shared" si="1"/>
        <v>0</v>
      </c>
      <c r="H28" s="53"/>
      <c r="I28" s="130">
        <f t="shared" si="3"/>
        <v>0</v>
      </c>
      <c r="J28" s="38"/>
      <c r="K28" s="52">
        <v>0</v>
      </c>
      <c r="L28" s="41"/>
      <c r="M28" s="131">
        <f t="shared" si="0"/>
        <v>0</v>
      </c>
      <c r="N28" s="94"/>
      <c r="O28" s="6"/>
    </row>
    <row r="29" spans="1:15" s="3" customFormat="1" ht="15" x14ac:dyDescent="0.25">
      <c r="A29" s="46"/>
      <c r="B29" s="47"/>
      <c r="C29" s="48" t="s">
        <v>30</v>
      </c>
      <c r="D29" s="47"/>
      <c r="E29" s="50">
        <v>209400</v>
      </c>
      <c r="F29" s="54"/>
      <c r="G29" s="50">
        <f>SUM(G30:G31)</f>
        <v>149571.42857142855</v>
      </c>
      <c r="H29" s="47"/>
      <c r="I29" s="130">
        <f t="shared" si="3"/>
        <v>358971.42857142852</v>
      </c>
      <c r="J29" s="54"/>
      <c r="K29" s="50">
        <f>SUM(K30:K31)</f>
        <v>0</v>
      </c>
      <c r="L29" s="48"/>
      <c r="M29" s="131">
        <f t="shared" si="0"/>
        <v>358971.42857142852</v>
      </c>
      <c r="N29" s="94"/>
      <c r="O29" s="6" t="s">
        <v>55</v>
      </c>
    </row>
    <row r="30" spans="1:15" s="4" customFormat="1" outlineLevel="1" x14ac:dyDescent="0.2">
      <c r="A30" s="6"/>
      <c r="B30" s="26"/>
      <c r="C30" s="41" t="s">
        <v>31</v>
      </c>
      <c r="D30" s="26"/>
      <c r="E30" s="52">
        <v>102</v>
      </c>
      <c r="F30" s="7"/>
      <c r="G30" s="122">
        <f t="shared" si="1"/>
        <v>72.857142857142861</v>
      </c>
      <c r="H30" s="26"/>
      <c r="I30" s="130">
        <f t="shared" si="3"/>
        <v>174.85714285714286</v>
      </c>
      <c r="J30" s="7"/>
      <c r="K30" s="52">
        <v>0</v>
      </c>
      <c r="L30" s="41"/>
      <c r="M30" s="131">
        <f t="shared" si="0"/>
        <v>174.85714285714286</v>
      </c>
      <c r="N30" s="94"/>
    </row>
    <row r="31" spans="1:15" s="4" customFormat="1" outlineLevel="1" x14ac:dyDescent="0.2">
      <c r="A31" s="6"/>
      <c r="B31" s="26"/>
      <c r="C31" s="41" t="s">
        <v>32</v>
      </c>
      <c r="D31" s="26"/>
      <c r="E31" s="52">
        <v>209298</v>
      </c>
      <c r="F31" s="38"/>
      <c r="G31" s="122">
        <f t="shared" si="1"/>
        <v>149498.57142857142</v>
      </c>
      <c r="H31" s="53"/>
      <c r="I31" s="130">
        <f t="shared" si="3"/>
        <v>358796.57142857142</v>
      </c>
      <c r="J31" s="38"/>
      <c r="K31" s="52">
        <v>0</v>
      </c>
      <c r="L31" s="41"/>
      <c r="M31" s="131">
        <f t="shared" si="0"/>
        <v>358796.57142857142</v>
      </c>
      <c r="N31" s="94"/>
    </row>
    <row r="32" spans="1:15" s="3" customFormat="1" ht="15" x14ac:dyDescent="0.25">
      <c r="A32" s="46"/>
      <c r="B32" s="47"/>
      <c r="C32" s="48" t="s">
        <v>33</v>
      </c>
      <c r="D32" s="47"/>
      <c r="E32" s="50">
        <v>909330</v>
      </c>
      <c r="F32" s="54"/>
      <c r="G32" s="50">
        <f>SUM(G33:G38)</f>
        <v>769792.42857142852</v>
      </c>
      <c r="H32" s="47"/>
      <c r="I32" s="130">
        <f t="shared" si="3"/>
        <v>1679122.4285714286</v>
      </c>
      <c r="J32" s="54"/>
      <c r="K32" s="50">
        <f>SUM(K33:K38)</f>
        <v>1871612</v>
      </c>
      <c r="L32" s="48"/>
      <c r="M32" s="131">
        <f t="shared" si="0"/>
        <v>-192489.57142857136</v>
      </c>
      <c r="N32" s="94"/>
    </row>
    <row r="33" spans="1:15" s="4" customFormat="1" outlineLevel="1" x14ac:dyDescent="0.2">
      <c r="A33" s="6"/>
      <c r="B33" s="26"/>
      <c r="C33" s="41" t="s">
        <v>34</v>
      </c>
      <c r="D33" s="26"/>
      <c r="E33" s="52">
        <v>4349</v>
      </c>
      <c r="F33" s="7"/>
      <c r="G33" s="123">
        <f t="shared" si="1"/>
        <v>3106.4285714285716</v>
      </c>
      <c r="H33" s="26"/>
      <c r="I33" s="130">
        <f t="shared" si="3"/>
        <v>7455.4285714285716</v>
      </c>
      <c r="J33" s="7"/>
      <c r="K33" s="52">
        <f>9360</f>
        <v>9360</v>
      </c>
      <c r="L33" s="41"/>
      <c r="M33" s="131">
        <f t="shared" si="0"/>
        <v>-1904.5714285714284</v>
      </c>
      <c r="N33" s="94"/>
    </row>
    <row r="34" spans="1:15" s="4" customFormat="1" outlineLevel="1" x14ac:dyDescent="0.2">
      <c r="A34" s="6"/>
      <c r="B34" s="26"/>
      <c r="C34" s="41" t="s">
        <v>35</v>
      </c>
      <c r="D34" s="26"/>
      <c r="E34" s="52">
        <v>65906</v>
      </c>
      <c r="F34" s="7"/>
      <c r="G34" s="124">
        <f>+E34/7*5+5198+3455</f>
        <v>55728.714285714283</v>
      </c>
      <c r="H34" s="26"/>
      <c r="I34" s="130">
        <f t="shared" si="3"/>
        <v>121634.71428571429</v>
      </c>
      <c r="J34" s="7"/>
      <c r="K34" s="52">
        <v>133296</v>
      </c>
      <c r="L34" s="41"/>
      <c r="M34" s="131">
        <f t="shared" si="0"/>
        <v>-11661.28571428571</v>
      </c>
      <c r="N34" s="94"/>
    </row>
    <row r="35" spans="1:15" s="4" customFormat="1" outlineLevel="1" x14ac:dyDescent="0.2">
      <c r="A35" s="6"/>
      <c r="B35" s="26"/>
      <c r="C35" s="41" t="s">
        <v>36</v>
      </c>
      <c r="D35" s="26"/>
      <c r="E35" s="52">
        <v>175</v>
      </c>
      <c r="F35" s="7"/>
      <c r="G35" s="123">
        <f t="shared" si="1"/>
        <v>125</v>
      </c>
      <c r="H35" s="26"/>
      <c r="I35" s="130">
        <f>+E35+G35</f>
        <v>300</v>
      </c>
      <c r="J35" s="7"/>
      <c r="K35" s="52">
        <v>500</v>
      </c>
      <c r="L35" s="41"/>
      <c r="M35" s="131">
        <f>(-K35+I35)</f>
        <v>-200</v>
      </c>
      <c r="N35" s="94"/>
    </row>
    <row r="36" spans="1:15" s="4" customFormat="1" outlineLevel="1" x14ac:dyDescent="0.2">
      <c r="A36" s="6"/>
      <c r="B36" s="26"/>
      <c r="C36" s="41" t="s">
        <v>37</v>
      </c>
      <c r="D36" s="26"/>
      <c r="E36" s="52">
        <v>0</v>
      </c>
      <c r="F36" s="7"/>
      <c r="G36" s="123">
        <f t="shared" si="1"/>
        <v>0</v>
      </c>
      <c r="H36" s="26"/>
      <c r="I36" s="130">
        <f>+E36+G36</f>
        <v>0</v>
      </c>
      <c r="J36" s="7"/>
      <c r="K36" s="52">
        <v>0</v>
      </c>
      <c r="L36" s="41"/>
      <c r="M36" s="131">
        <f>(-K36+I36)</f>
        <v>0</v>
      </c>
      <c r="N36" s="94"/>
    </row>
    <row r="37" spans="1:15" s="4" customFormat="1" outlineLevel="1" x14ac:dyDescent="0.2">
      <c r="A37" s="6"/>
      <c r="B37" s="26"/>
      <c r="C37" s="41" t="s">
        <v>38</v>
      </c>
      <c r="D37" s="26"/>
      <c r="E37" s="52">
        <v>797890</v>
      </c>
      <c r="F37" s="7"/>
      <c r="G37" s="125">
        <f>+E37/7*5+34428+72076</f>
        <v>676425.42857142852</v>
      </c>
      <c r="H37" s="26"/>
      <c r="I37" s="130">
        <f t="shared" si="3"/>
        <v>1474315.4285714286</v>
      </c>
      <c r="J37" s="7"/>
      <c r="K37" s="52">
        <f>1638936</f>
        <v>1638936</v>
      </c>
      <c r="L37" s="41"/>
      <c r="M37" s="131">
        <f t="shared" si="0"/>
        <v>-164620.57142857136</v>
      </c>
      <c r="N37" s="94"/>
    </row>
    <row r="38" spans="1:15" s="4" customFormat="1" outlineLevel="1" x14ac:dyDescent="0.2">
      <c r="A38" s="6"/>
      <c r="B38" s="26"/>
      <c r="C38" s="41" t="s">
        <v>39</v>
      </c>
      <c r="D38" s="26"/>
      <c r="E38" s="52">
        <v>41010</v>
      </c>
      <c r="F38" s="7"/>
      <c r="G38" s="126">
        <f>+E38/7*5+1157+3957</f>
        <v>34406.857142857145</v>
      </c>
      <c r="H38" s="26"/>
      <c r="I38" s="130">
        <f t="shared" si="3"/>
        <v>75416.857142857145</v>
      </c>
      <c r="J38" s="7"/>
      <c r="K38" s="52">
        <f>89520</f>
        <v>89520</v>
      </c>
      <c r="L38" s="41"/>
      <c r="M38" s="131">
        <f t="shared" si="0"/>
        <v>-14103.142857142855</v>
      </c>
      <c r="N38" s="94"/>
    </row>
    <row r="39" spans="1:15" s="3" customFormat="1" ht="15" x14ac:dyDescent="0.25">
      <c r="A39" s="46"/>
      <c r="B39" s="47"/>
      <c r="C39" s="48" t="s">
        <v>40</v>
      </c>
      <c r="D39" s="47"/>
      <c r="E39" s="49">
        <v>135471</v>
      </c>
      <c r="F39" s="54"/>
      <c r="G39" s="127">
        <f>+E39/7*5+9282+14331</f>
        <v>120378</v>
      </c>
      <c r="H39" s="47"/>
      <c r="I39" s="130">
        <f t="shared" si="3"/>
        <v>255849</v>
      </c>
      <c r="J39" s="54"/>
      <c r="K39" s="49">
        <f>311196</f>
        <v>311196</v>
      </c>
      <c r="L39" s="48"/>
      <c r="M39" s="131">
        <f t="shared" si="0"/>
        <v>-55347</v>
      </c>
      <c r="N39" s="94"/>
    </row>
    <row r="40" spans="1:15" s="3" customFormat="1" ht="15" x14ac:dyDescent="0.25">
      <c r="A40" s="46"/>
      <c r="B40" s="47"/>
      <c r="C40" s="48" t="s">
        <v>2</v>
      </c>
      <c r="D40" s="47"/>
      <c r="E40" s="49">
        <v>0</v>
      </c>
      <c r="F40" s="54"/>
      <c r="G40" s="123">
        <v>0</v>
      </c>
      <c r="H40" s="47"/>
      <c r="I40" s="130">
        <f t="shared" si="3"/>
        <v>0</v>
      </c>
      <c r="J40" s="54"/>
      <c r="K40" s="49">
        <v>0</v>
      </c>
      <c r="L40" s="48"/>
      <c r="M40" s="131">
        <f t="shared" si="0"/>
        <v>0</v>
      </c>
      <c r="N40" s="94"/>
    </row>
    <row r="41" spans="1:15" s="3" customFormat="1" ht="15" x14ac:dyDescent="0.25">
      <c r="A41" s="46"/>
      <c r="B41" s="47"/>
      <c r="C41" s="48" t="s">
        <v>3</v>
      </c>
      <c r="D41" s="47"/>
      <c r="E41" s="49">
        <v>0</v>
      </c>
      <c r="F41" s="54"/>
      <c r="G41" s="123">
        <v>0</v>
      </c>
      <c r="H41" s="47"/>
      <c r="I41" s="130">
        <f t="shared" si="3"/>
        <v>0</v>
      </c>
      <c r="J41" s="54"/>
      <c r="K41" s="49">
        <v>0</v>
      </c>
      <c r="L41" s="48"/>
      <c r="M41" s="131">
        <f t="shared" si="0"/>
        <v>0</v>
      </c>
      <c r="N41" s="94"/>
    </row>
    <row r="42" spans="1:15" s="3" customFormat="1" ht="15" x14ac:dyDescent="0.25">
      <c r="A42" s="46"/>
      <c r="B42" s="47"/>
      <c r="C42" s="48" t="s">
        <v>53</v>
      </c>
      <c r="D42" s="47"/>
      <c r="E42" s="49">
        <v>0</v>
      </c>
      <c r="F42" s="54"/>
      <c r="G42" s="123">
        <v>0</v>
      </c>
      <c r="H42" s="47"/>
      <c r="I42" s="130">
        <f t="shared" si="3"/>
        <v>0</v>
      </c>
      <c r="J42" s="54"/>
      <c r="K42" s="49">
        <v>0</v>
      </c>
      <c r="L42" s="48"/>
      <c r="M42" s="131">
        <f t="shared" si="0"/>
        <v>0</v>
      </c>
      <c r="N42" s="94"/>
    </row>
    <row r="43" spans="1:15" s="3" customFormat="1" ht="15" x14ac:dyDescent="0.25">
      <c r="A43" s="46"/>
      <c r="B43" s="47"/>
      <c r="C43" s="48" t="s">
        <v>41</v>
      </c>
      <c r="D43" s="47"/>
      <c r="E43" s="50">
        <v>97137</v>
      </c>
      <c r="F43" s="54"/>
      <c r="G43" s="50">
        <f>SUM(G44:G47)</f>
        <v>69383.57142857142</v>
      </c>
      <c r="H43" s="47"/>
      <c r="I43" s="130">
        <f t="shared" si="3"/>
        <v>166520.57142857142</v>
      </c>
      <c r="J43" s="54"/>
      <c r="K43" s="50">
        <f>SUM(K44:K47)</f>
        <v>189871</v>
      </c>
      <c r="L43" s="48"/>
      <c r="M43" s="131">
        <f t="shared" si="0"/>
        <v>-23350.42857142858</v>
      </c>
      <c r="N43" s="94"/>
    </row>
    <row r="44" spans="1:15" s="4" customFormat="1" outlineLevel="1" x14ac:dyDescent="0.2">
      <c r="A44" s="6"/>
      <c r="B44" s="26"/>
      <c r="C44" s="41" t="s">
        <v>42</v>
      </c>
      <c r="D44" s="26"/>
      <c r="E44" s="52">
        <v>5302</v>
      </c>
      <c r="F44" s="7"/>
      <c r="G44" s="128">
        <f>+E44/7*5</f>
        <v>3787.1428571428573</v>
      </c>
      <c r="H44" s="26"/>
      <c r="I44" s="130">
        <f t="shared" si="3"/>
        <v>9089.1428571428569</v>
      </c>
      <c r="J44" s="7"/>
      <c r="K44" s="52">
        <v>10000</v>
      </c>
      <c r="L44" s="41"/>
      <c r="M44" s="131">
        <f t="shared" si="0"/>
        <v>-910.85714285714312</v>
      </c>
      <c r="N44" s="94"/>
    </row>
    <row r="45" spans="1:15" s="4" customFormat="1" outlineLevel="1" x14ac:dyDescent="0.2">
      <c r="A45" s="6"/>
      <c r="B45" s="26"/>
      <c r="C45" s="41" t="s">
        <v>43</v>
      </c>
      <c r="D45" s="26"/>
      <c r="E45" s="52">
        <v>0</v>
      </c>
      <c r="F45" s="7"/>
      <c r="G45" s="128">
        <f>+E45/7*5</f>
        <v>0</v>
      </c>
      <c r="H45" s="26"/>
      <c r="I45" s="130">
        <f t="shared" si="3"/>
        <v>0</v>
      </c>
      <c r="J45" s="7"/>
      <c r="K45" s="52">
        <v>0</v>
      </c>
      <c r="L45" s="41"/>
      <c r="M45" s="131">
        <f t="shared" si="0"/>
        <v>0</v>
      </c>
      <c r="N45" s="94"/>
    </row>
    <row r="46" spans="1:15" s="4" customFormat="1" outlineLevel="1" x14ac:dyDescent="0.2">
      <c r="A46" s="6"/>
      <c r="B46" s="26"/>
      <c r="C46" s="41" t="s">
        <v>44</v>
      </c>
      <c r="D46" s="26"/>
      <c r="E46" s="52">
        <v>0</v>
      </c>
      <c r="F46" s="7"/>
      <c r="G46" s="128">
        <f>+E46/7*5</f>
        <v>0</v>
      </c>
      <c r="H46" s="26"/>
      <c r="I46" s="130">
        <f t="shared" si="3"/>
        <v>0</v>
      </c>
      <c r="J46" s="7"/>
      <c r="K46" s="52">
        <v>0</v>
      </c>
      <c r="L46" s="41"/>
      <c r="M46" s="131">
        <f t="shared" si="0"/>
        <v>0</v>
      </c>
      <c r="N46" s="94"/>
    </row>
    <row r="47" spans="1:15" s="4" customFormat="1" outlineLevel="1" x14ac:dyDescent="0.2">
      <c r="A47" s="6"/>
      <c r="B47" s="26"/>
      <c r="C47" s="41" t="s">
        <v>45</v>
      </c>
      <c r="D47" s="26"/>
      <c r="E47" s="52">
        <v>91835</v>
      </c>
      <c r="F47" s="7"/>
      <c r="G47" s="128">
        <f>+E47/7*5</f>
        <v>65596.428571428565</v>
      </c>
      <c r="H47" s="26"/>
      <c r="I47" s="130">
        <f t="shared" si="3"/>
        <v>157431.42857142858</v>
      </c>
      <c r="J47" s="7"/>
      <c r="K47" s="52">
        <v>179871</v>
      </c>
      <c r="L47" s="41"/>
      <c r="M47" s="131">
        <f t="shared" si="0"/>
        <v>-22439.57142857142</v>
      </c>
      <c r="N47" s="94"/>
    </row>
    <row r="48" spans="1:15" s="3" customFormat="1" ht="15" x14ac:dyDescent="0.25">
      <c r="A48" s="46"/>
      <c r="B48" s="47"/>
      <c r="C48" s="48" t="s">
        <v>46</v>
      </c>
      <c r="D48" s="47"/>
      <c r="E48" s="49">
        <v>14669586</v>
      </c>
      <c r="F48" s="54"/>
      <c r="G48" s="129">
        <f>+E48/7*5+5952138</f>
        <v>16430413.714285715</v>
      </c>
      <c r="H48" s="47"/>
      <c r="I48" s="130">
        <f t="shared" si="3"/>
        <v>31099999.714285716</v>
      </c>
      <c r="J48" s="54"/>
      <c r="K48" s="49">
        <v>31100000</v>
      </c>
      <c r="L48" s="48"/>
      <c r="M48" s="131">
        <f t="shared" si="0"/>
        <v>-0.2857142835855484</v>
      </c>
      <c r="N48" s="94"/>
      <c r="O48" s="6" t="s">
        <v>54</v>
      </c>
    </row>
    <row r="49" spans="1:14" s="3" customFormat="1" ht="15" x14ac:dyDescent="0.25">
      <c r="A49" s="46"/>
      <c r="B49" s="47"/>
      <c r="C49" s="48" t="s">
        <v>1</v>
      </c>
      <c r="D49" s="47"/>
      <c r="E49" s="49">
        <v>0</v>
      </c>
      <c r="F49" s="54"/>
      <c r="G49" s="128">
        <v>0</v>
      </c>
      <c r="H49" s="47"/>
      <c r="I49" s="130">
        <f t="shared" si="3"/>
        <v>0</v>
      </c>
      <c r="J49" s="54"/>
      <c r="K49" s="49">
        <v>0</v>
      </c>
      <c r="L49" s="48"/>
      <c r="M49" s="131">
        <f t="shared" si="0"/>
        <v>0</v>
      </c>
      <c r="N49" s="94"/>
    </row>
    <row r="50" spans="1:14" s="3" customFormat="1" ht="15" x14ac:dyDescent="0.25">
      <c r="A50" s="46"/>
      <c r="B50" s="47"/>
      <c r="C50" s="48" t="s">
        <v>47</v>
      </c>
      <c r="D50" s="47"/>
      <c r="E50" s="49">
        <v>0</v>
      </c>
      <c r="F50" s="54"/>
      <c r="G50" s="128">
        <v>0</v>
      </c>
      <c r="H50" s="47"/>
      <c r="I50" s="130">
        <f t="shared" si="3"/>
        <v>0</v>
      </c>
      <c r="J50" s="54"/>
      <c r="K50" s="49">
        <v>0</v>
      </c>
      <c r="L50" s="48"/>
      <c r="M50" s="131">
        <f t="shared" si="0"/>
        <v>0</v>
      </c>
      <c r="N50" s="94"/>
    </row>
    <row r="51" spans="1:14" s="5" customFormat="1" ht="13.5" thickBot="1" x14ac:dyDescent="0.25">
      <c r="A51" s="6"/>
      <c r="B51" s="26"/>
      <c r="C51" s="41"/>
      <c r="D51" s="55"/>
      <c r="E51" s="56"/>
      <c r="F51" s="57"/>
      <c r="G51" s="58"/>
      <c r="H51" s="26"/>
      <c r="I51" s="38"/>
      <c r="J51" s="7"/>
      <c r="K51" s="38"/>
      <c r="L51" s="41"/>
      <c r="M51" s="59"/>
      <c r="N51" s="94"/>
    </row>
    <row r="52" spans="1:14" ht="13.5" thickBot="1" x14ac:dyDescent="0.25">
      <c r="A52" s="6"/>
      <c r="B52" s="60"/>
      <c r="C52" s="61" t="s">
        <v>48</v>
      </c>
      <c r="D52" s="62"/>
      <c r="E52" s="63">
        <f>+E11+E12+E22+E29+E32+E39+E40+E41+E42+E43+E48+E49+E50+E27</f>
        <v>27109998.800000001</v>
      </c>
      <c r="F52" s="64"/>
      <c r="G52" s="63">
        <f>+G11+G12+G22+G29+G32+G39+G40+G41+G42+G43+G48+G49+G50+G27</f>
        <v>25541420.857142854</v>
      </c>
      <c r="H52" s="62"/>
      <c r="I52" s="63">
        <f>+I11+I12+I22+I29+I32+I39+I40+I41+I42+I43+I48+I49+I50+I27</f>
        <v>52651419.657142863</v>
      </c>
      <c r="J52" s="64"/>
      <c r="K52" s="63">
        <f>+K11+K12+K22+K29+K32+K39+K40+K41+K42+K43+K48+K49+K50+K27</f>
        <v>53825780</v>
      </c>
      <c r="L52" s="66"/>
      <c r="M52" s="110">
        <f t="shared" si="0"/>
        <v>-1174360.3428571373</v>
      </c>
      <c r="N52" s="94"/>
    </row>
    <row r="53" spans="1:14" x14ac:dyDescent="0.2">
      <c r="A53" s="6"/>
      <c r="B53" s="68"/>
      <c r="C53" s="69"/>
      <c r="D53" s="70"/>
      <c r="E53" s="71"/>
      <c r="F53" s="70"/>
      <c r="G53" s="71"/>
      <c r="H53" s="70"/>
      <c r="I53" s="71"/>
      <c r="J53" s="70"/>
      <c r="K53" s="71"/>
      <c r="L53" s="70"/>
      <c r="M53" s="72"/>
      <c r="N53" s="94"/>
    </row>
    <row r="54" spans="1:14" s="3" customFormat="1" ht="15" x14ac:dyDescent="0.25">
      <c r="A54" s="46"/>
      <c r="B54" s="73"/>
      <c r="C54" s="69" t="s">
        <v>49</v>
      </c>
      <c r="D54" s="70"/>
      <c r="E54" s="52">
        <v>-5619118</v>
      </c>
      <c r="F54" s="74"/>
      <c r="G54" s="132">
        <f>+E54/7*5-1523796.67-202753-31591-1606721-12830298</f>
        <v>-20208815.384285714</v>
      </c>
      <c r="H54" s="74"/>
      <c r="I54" s="134">
        <f>+E54+G54</f>
        <v>-25827933.384285714</v>
      </c>
      <c r="J54" s="74"/>
      <c r="K54" s="52">
        <f>-12016038.81-19037476.39</f>
        <v>-31053515.200000003</v>
      </c>
      <c r="L54" s="74"/>
      <c r="M54" s="135">
        <f>-K54+I54</f>
        <v>5225581.8157142885</v>
      </c>
      <c r="N54" s="94"/>
    </row>
    <row r="55" spans="1:14" s="3" customFormat="1" ht="15" x14ac:dyDescent="0.25">
      <c r="A55" s="46"/>
      <c r="B55" s="73"/>
      <c r="C55" s="69" t="s">
        <v>50</v>
      </c>
      <c r="D55" s="70"/>
      <c r="E55" s="52">
        <v>-12966565</v>
      </c>
      <c r="F55" s="74"/>
      <c r="G55" s="133">
        <f>+E55/7*5-1869617+425936+5001884</f>
        <v>-5703629.1428571437</v>
      </c>
      <c r="H55" s="74"/>
      <c r="I55" s="134">
        <f>+E55+G55</f>
        <v>-18670194.142857142</v>
      </c>
      <c r="J55" s="74"/>
      <c r="K55" s="52">
        <v>-19083961</v>
      </c>
      <c r="L55" s="74"/>
      <c r="M55" s="135">
        <f>-K55+I55</f>
        <v>413766.85714285821</v>
      </c>
      <c r="N55" s="94"/>
    </row>
    <row r="56" spans="1:14" ht="13.5" thickBot="1" x14ac:dyDescent="0.25">
      <c r="A56" s="6"/>
      <c r="B56" s="75"/>
      <c r="C56" s="76"/>
      <c r="D56" s="77"/>
      <c r="E56" s="78"/>
      <c r="F56" s="77"/>
      <c r="G56" s="78"/>
      <c r="H56" s="70"/>
      <c r="I56" s="71"/>
      <c r="J56" s="70"/>
      <c r="K56" s="71"/>
      <c r="L56" s="70"/>
      <c r="M56" s="79"/>
      <c r="N56" s="94"/>
    </row>
    <row r="57" spans="1:14" ht="13.5" thickBot="1" x14ac:dyDescent="0.25">
      <c r="A57" s="6"/>
      <c r="B57" s="75"/>
      <c r="C57" s="80" t="s">
        <v>51</v>
      </c>
      <c r="D57" s="62"/>
      <c r="E57" s="63">
        <f>+E52+E54+E55</f>
        <v>8524315.8000000007</v>
      </c>
      <c r="F57" s="64"/>
      <c r="G57" s="81">
        <f>+G52+G54+G55</f>
        <v>-371023.67000000365</v>
      </c>
      <c r="H57" s="62"/>
      <c r="I57" s="65">
        <f>+E57+G57</f>
        <v>8153292.1299999971</v>
      </c>
      <c r="J57" s="64"/>
      <c r="K57" s="63">
        <f>+K52+K54+K55</f>
        <v>3688303.799999997</v>
      </c>
      <c r="L57" s="66"/>
      <c r="M57" s="67">
        <f>-K57+I57</f>
        <v>4464988.33</v>
      </c>
      <c r="N57" s="94"/>
    </row>
    <row r="58" spans="1:14" ht="13.5" thickBot="1" x14ac:dyDescent="0.25">
      <c r="A58" s="6"/>
      <c r="B58" s="7"/>
      <c r="C58" s="7"/>
      <c r="D58" s="7"/>
      <c r="E58" s="7"/>
      <c r="F58" s="7"/>
      <c r="G58" s="82"/>
      <c r="H58" s="7"/>
      <c r="I58" s="7"/>
      <c r="J58" s="7"/>
      <c r="K58" s="7"/>
      <c r="L58" s="7"/>
      <c r="M58" s="7"/>
      <c r="N58" s="94"/>
    </row>
    <row r="59" spans="1:14" s="2" customFormat="1" ht="15" thickBot="1" x14ac:dyDescent="0.25">
      <c r="A59" s="6"/>
      <c r="B59" s="36" t="s">
        <v>52</v>
      </c>
      <c r="C59" s="83"/>
      <c r="D59" s="84"/>
      <c r="E59" s="85"/>
      <c r="F59" s="82"/>
      <c r="G59" s="86"/>
      <c r="H59" s="84"/>
      <c r="I59" s="87">
        <v>133</v>
      </c>
      <c r="J59" s="88"/>
      <c r="K59" s="89">
        <v>133</v>
      </c>
      <c r="L59" s="90"/>
      <c r="M59" s="91">
        <f>(-K59+I59)</f>
        <v>0</v>
      </c>
      <c r="N59" s="94"/>
    </row>
    <row r="60" spans="1:14" x14ac:dyDescent="0.2">
      <c r="A60" s="6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94"/>
    </row>
    <row r="61" spans="1:14" x14ac:dyDescent="0.2">
      <c r="A61" s="6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94"/>
    </row>
    <row r="62" spans="1:14" x14ac:dyDescent="0.2">
      <c r="A62" s="6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94"/>
    </row>
    <row r="63" spans="1:14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94"/>
    </row>
    <row r="64" spans="1:14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94"/>
    </row>
    <row r="65" spans="1:14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94"/>
    </row>
    <row r="66" spans="1:14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94"/>
    </row>
    <row r="67" spans="1:14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94"/>
    </row>
    <row r="68" spans="1:14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94"/>
    </row>
    <row r="69" spans="1:14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94"/>
    </row>
    <row r="70" spans="1:14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94"/>
    </row>
    <row r="71" spans="1:14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94"/>
    </row>
    <row r="72" spans="1:14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94"/>
    </row>
    <row r="73" spans="1:14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92"/>
    </row>
    <row r="74" spans="1:14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92"/>
    </row>
    <row r="75" spans="1:14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92"/>
    </row>
    <row r="76" spans="1:14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92"/>
    </row>
    <row r="77" spans="1:14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92"/>
    </row>
    <row r="78" spans="1:14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92"/>
    </row>
    <row r="79" spans="1:14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92"/>
    </row>
    <row r="80" spans="1:14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92"/>
    </row>
    <row r="81" spans="1:14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92"/>
    </row>
    <row r="82" spans="1:14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92"/>
    </row>
    <row r="83" spans="1:14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92"/>
    </row>
    <row r="84" spans="1:14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92"/>
    </row>
    <row r="85" spans="1:14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92"/>
    </row>
    <row r="86" spans="1:14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92"/>
    </row>
    <row r="87" spans="1:14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92"/>
    </row>
    <row r="88" spans="1:14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92"/>
    </row>
    <row r="89" spans="1:14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92"/>
    </row>
    <row r="90" spans="1:14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92"/>
    </row>
    <row r="91" spans="1:14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92"/>
    </row>
    <row r="92" spans="1:14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92"/>
    </row>
    <row r="93" spans="1:14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92"/>
    </row>
    <row r="94" spans="1:14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92"/>
    </row>
    <row r="95" spans="1:14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92"/>
    </row>
    <row r="96" spans="1:14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92"/>
    </row>
    <row r="97" spans="1:14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92"/>
    </row>
    <row r="98" spans="1:14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92"/>
    </row>
    <row r="99" spans="1:14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92"/>
    </row>
    <row r="100" spans="1:14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92"/>
    </row>
    <row r="101" spans="1:14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92"/>
    </row>
    <row r="102" spans="1:14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92"/>
    </row>
    <row r="103" spans="1:14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92"/>
    </row>
    <row r="104" spans="1:14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93"/>
    </row>
    <row r="105" spans="1:14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93"/>
    </row>
    <row r="106" spans="1:14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93"/>
    </row>
    <row r="107" spans="1:14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93"/>
    </row>
    <row r="108" spans="1:14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93"/>
    </row>
    <row r="109" spans="1:14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93"/>
    </row>
    <row r="110" spans="1:14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93"/>
    </row>
    <row r="111" spans="1:14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93"/>
    </row>
    <row r="112" spans="1:14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93"/>
    </row>
    <row r="113" spans="1:14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93"/>
    </row>
    <row r="114" spans="1:14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93"/>
    </row>
    <row r="115" spans="1:14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93"/>
    </row>
    <row r="116" spans="1:14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93"/>
    </row>
    <row r="117" spans="1:14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93"/>
    </row>
    <row r="118" spans="1:14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93"/>
    </row>
    <row r="119" spans="1:14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93"/>
    </row>
    <row r="120" spans="1:14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93"/>
    </row>
    <row r="121" spans="1:14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93"/>
    </row>
    <row r="122" spans="1:14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93"/>
    </row>
    <row r="123" spans="1:14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93"/>
    </row>
    <row r="124" spans="1:14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1:14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14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4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4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13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13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3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3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13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1:13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1:13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1:13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1:13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1:13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1:13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1:13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1:13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1:13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  <row r="143" spans="1:13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</row>
    <row r="144" spans="1:13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</row>
  </sheetData>
  <mergeCells count="1">
    <mergeCell ref="B3:M3"/>
  </mergeCells>
  <phoneticPr fontId="0" type="noConversion"/>
  <pageMargins left="0.75" right="0.75" top="1" bottom="1" header="0.5" footer="0.5"/>
  <pageSetup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Allocations</vt:lpstr>
      <vt:lpstr>legal - rev</vt:lpstr>
      <vt:lpstr>'legal - rev'!Print_Area</vt:lpstr>
    </vt:vector>
  </TitlesOfParts>
  <Company>Enron Corp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vnguyen2</dc:creator>
  <cp:lastModifiedBy>wsdou</cp:lastModifiedBy>
  <cp:lastPrinted>2001-09-04T23:19:17Z</cp:lastPrinted>
  <dcterms:created xsi:type="dcterms:W3CDTF">2001-08-29T01:41:51Z</dcterms:created>
  <dcterms:modified xsi:type="dcterms:W3CDTF">2016-01-05T08:28:52Z</dcterms:modified>
</cp:coreProperties>
</file>